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0_gastherm\!data\!SulfurRevisited\"/>
    </mc:Choice>
  </mc:AlternateContent>
  <xr:revisionPtr revIDLastSave="0" documentId="13_ncr:1_{C04C85CB-4A98-457C-BD24-4EE801A6291B}" xr6:coauthVersionLast="47" xr6:coauthVersionMax="47" xr10:uidLastSave="{00000000-0000-0000-0000-000000000000}"/>
  <bookViews>
    <workbookView xWindow="1080" yWindow="105" windowWidth="27720" windowHeight="16095" tabRatio="707" xr2:uid="{00000000-000D-0000-FFFF-FFFF00000000}"/>
  </bookViews>
  <sheets>
    <sheet name="graphs-JNF" sheetId="75" r:id="rId1"/>
    <sheet name="graphs old" sheetId="57" r:id="rId2"/>
    <sheet name="JANAF G, H" sheetId="65" r:id="rId3"/>
    <sheet name="ortho-HP" sheetId="71" r:id="rId4"/>
    <sheet name="ortho-JNF-CpOnly" sheetId="72" r:id="rId5"/>
    <sheet name="ortho-Barin-CpOnly" sheetId="76" r:id="rId6"/>
    <sheet name="mono-JNF" sheetId="73" r:id="rId7"/>
    <sheet name="liq-JNF" sheetId="74" r:id="rId8"/>
    <sheet name="liq-Pnkrz" sheetId="64" r:id="rId9"/>
    <sheet name="JNF-Raw" sheetId="66" r:id="rId10"/>
    <sheet name="References" sheetId="55" r:id="rId11"/>
    <sheet name="template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76" l="1"/>
  <c r="D23" i="76" s="1"/>
  <c r="C22" i="76"/>
  <c r="D22" i="76" s="1"/>
  <c r="C21" i="76"/>
  <c r="D21" i="76" s="1"/>
  <c r="C20" i="76"/>
  <c r="D20" i="76" s="1"/>
  <c r="F15" i="76"/>
  <c r="E15" i="76"/>
  <c r="F14" i="76"/>
  <c r="E14" i="76"/>
  <c r="D14" i="76"/>
  <c r="D15" i="76" s="1"/>
  <c r="C14" i="76"/>
  <c r="C15" i="76" s="1"/>
  <c r="G6" i="76"/>
  <c r="F6" i="76"/>
  <c r="E6" i="76"/>
  <c r="D6" i="76"/>
  <c r="G5" i="76"/>
  <c r="F5" i="76"/>
  <c r="E5" i="76"/>
  <c r="D5" i="76"/>
  <c r="G4" i="76"/>
  <c r="F4" i="76"/>
  <c r="E4" i="76"/>
  <c r="D4" i="76"/>
  <c r="G3" i="76"/>
  <c r="F3" i="76"/>
  <c r="E3" i="76"/>
  <c r="D3" i="76"/>
  <c r="B36" i="74"/>
  <c r="B35" i="74"/>
  <c r="B34" i="74"/>
  <c r="B33" i="74"/>
  <c r="B32" i="74"/>
  <c r="B31" i="74"/>
  <c r="D36" i="74"/>
  <c r="E36" i="74" s="1"/>
  <c r="C21" i="65" l="1"/>
  <c r="C20" i="65"/>
  <c r="C19" i="65"/>
  <c r="B24" i="65"/>
  <c r="B25" i="65" s="1"/>
  <c r="C25" i="65" s="1"/>
  <c r="B23" i="65"/>
  <c r="C23" i="65" s="1"/>
  <c r="B22" i="65"/>
  <c r="C22" i="65" s="1"/>
  <c r="C18" i="65"/>
  <c r="C17" i="65"/>
  <c r="B21" i="65"/>
  <c r="O6" i="65"/>
  <c r="O5" i="65"/>
  <c r="O4" i="65"/>
  <c r="O3" i="65"/>
  <c r="N8" i="65"/>
  <c r="N9" i="65" s="1"/>
  <c r="K4" i="65"/>
  <c r="K3" i="65"/>
  <c r="K6" i="65"/>
  <c r="K5" i="65"/>
  <c r="G5" i="65"/>
  <c r="G4" i="65"/>
  <c r="G3" i="65"/>
  <c r="G6" i="65"/>
  <c r="C24" i="65" l="1"/>
  <c r="O9" i="65"/>
  <c r="N10" i="65"/>
  <c r="O8" i="65"/>
  <c r="N11" i="65" l="1"/>
  <c r="O10" i="65"/>
  <c r="N12" i="65" l="1"/>
  <c r="O12" i="65" s="1"/>
  <c r="O11" i="65"/>
  <c r="E41" i="73"/>
  <c r="E40" i="73"/>
  <c r="E39" i="73"/>
  <c r="E38" i="73"/>
  <c r="E37" i="73"/>
  <c r="E36" i="73"/>
  <c r="E35" i="73"/>
  <c r="E34" i="73"/>
  <c r="E33" i="73"/>
  <c r="E32" i="73"/>
  <c r="E31" i="73"/>
  <c r="D31" i="73"/>
  <c r="D32" i="73"/>
  <c r="D33" i="73"/>
  <c r="D34" i="73"/>
  <c r="D35" i="73"/>
  <c r="D36" i="73"/>
  <c r="D37" i="73"/>
  <c r="D38" i="73"/>
  <c r="D39" i="73"/>
  <c r="D40" i="73"/>
  <c r="D41" i="73"/>
  <c r="H23" i="73" l="1"/>
  <c r="G23" i="73"/>
  <c r="F23" i="73"/>
  <c r="H22" i="73"/>
  <c r="G22" i="73"/>
  <c r="F22" i="73"/>
  <c r="H21" i="73"/>
  <c r="G21" i="73"/>
  <c r="F21" i="73"/>
  <c r="E23" i="73"/>
  <c r="E22" i="73"/>
  <c r="E21" i="73"/>
  <c r="E20" i="73"/>
  <c r="E19" i="73"/>
  <c r="E18" i="73"/>
  <c r="E17" i="73"/>
  <c r="E16" i="73"/>
  <c r="E15" i="73"/>
  <c r="E14" i="73"/>
  <c r="B48" i="74"/>
  <c r="B50" i="74" s="1"/>
  <c r="G27" i="74"/>
  <c r="G28" i="74" s="1"/>
  <c r="F27" i="74"/>
  <c r="F28" i="74" s="1"/>
  <c r="E27" i="74"/>
  <c r="E28" i="74" s="1"/>
  <c r="D27" i="74"/>
  <c r="H15" i="74"/>
  <c r="G15" i="74"/>
  <c r="F15" i="74"/>
  <c r="H14" i="74"/>
  <c r="G14" i="74"/>
  <c r="F14" i="74"/>
  <c r="H13" i="74"/>
  <c r="G13" i="74"/>
  <c r="F13" i="74"/>
  <c r="E13" i="74"/>
  <c r="H3" i="74"/>
  <c r="E5" i="74" s="1"/>
  <c r="G3" i="74"/>
  <c r="F5" i="74" s="1"/>
  <c r="F3" i="74"/>
  <c r="H5" i="74" s="1"/>
  <c r="E3" i="74"/>
  <c r="G5" i="74" s="1"/>
  <c r="G27" i="73"/>
  <c r="G28" i="73" s="1"/>
  <c r="F27" i="73"/>
  <c r="F28" i="73" s="1"/>
  <c r="E27" i="73"/>
  <c r="E28" i="73" s="1"/>
  <c r="D27" i="73"/>
  <c r="H20" i="73"/>
  <c r="G20" i="73"/>
  <c r="F20" i="73"/>
  <c r="H19" i="73"/>
  <c r="G19" i="73"/>
  <c r="F19" i="73"/>
  <c r="H18" i="73"/>
  <c r="G18" i="73"/>
  <c r="F18" i="73"/>
  <c r="H17" i="73"/>
  <c r="G17" i="73"/>
  <c r="F17" i="73"/>
  <c r="H16" i="73"/>
  <c r="G16" i="73"/>
  <c r="F16" i="73"/>
  <c r="H15" i="73"/>
  <c r="G15" i="73"/>
  <c r="F15" i="73"/>
  <c r="H14" i="73"/>
  <c r="G14" i="73"/>
  <c r="F14" i="73"/>
  <c r="H13" i="73"/>
  <c r="G13" i="73"/>
  <c r="F13" i="73"/>
  <c r="E13" i="73"/>
  <c r="H3" i="73"/>
  <c r="E5" i="73" s="1"/>
  <c r="G3" i="73"/>
  <c r="F5" i="73" s="1"/>
  <c r="F3" i="73"/>
  <c r="H5" i="73" s="1"/>
  <c r="E3" i="73"/>
  <c r="G5" i="73" s="1"/>
  <c r="D33" i="71"/>
  <c r="F33" i="71" s="1"/>
  <c r="D32" i="71"/>
  <c r="F32" i="71" s="1"/>
  <c r="D31" i="71"/>
  <c r="F31" i="71" s="1"/>
  <c r="D30" i="71"/>
  <c r="F30" i="71" s="1"/>
  <c r="C23" i="72"/>
  <c r="D23" i="72" s="1"/>
  <c r="C22" i="72"/>
  <c r="D22" i="72" s="1"/>
  <c r="C21" i="72"/>
  <c r="D21" i="72" s="1"/>
  <c r="C20" i="72"/>
  <c r="D20" i="72" s="1"/>
  <c r="D28" i="74" l="1"/>
  <c r="D35" i="74"/>
  <c r="E35" i="74" s="1"/>
  <c r="D32" i="74"/>
  <c r="E32" i="74" s="1"/>
  <c r="D34" i="74"/>
  <c r="E34" i="74" s="1"/>
  <c r="D33" i="74"/>
  <c r="E33" i="74" s="1"/>
  <c r="D31" i="74"/>
  <c r="E31" i="74" s="1"/>
  <c r="D28" i="73"/>
  <c r="J42" i="9"/>
  <c r="D6" i="72"/>
  <c r="F14" i="72"/>
  <c r="F15" i="72" s="1"/>
  <c r="E14" i="72"/>
  <c r="E15" i="72" s="1"/>
  <c r="D14" i="72"/>
  <c r="D15" i="72" s="1"/>
  <c r="C14" i="72"/>
  <c r="C15" i="72" s="1"/>
  <c r="G6" i="72"/>
  <c r="F6" i="72"/>
  <c r="E6" i="72"/>
  <c r="G5" i="72"/>
  <c r="F5" i="72"/>
  <c r="E5" i="72"/>
  <c r="D5" i="72"/>
  <c r="G4" i="72"/>
  <c r="F4" i="72"/>
  <c r="E4" i="72"/>
  <c r="D4" i="72"/>
  <c r="G3" i="72"/>
  <c r="F3" i="72"/>
  <c r="E3" i="72"/>
  <c r="D3" i="72"/>
  <c r="D22" i="71"/>
  <c r="F22" i="71" s="1"/>
  <c r="D21" i="71"/>
  <c r="F21" i="71" s="1"/>
  <c r="G42" i="9"/>
  <c r="G43" i="9" s="1"/>
  <c r="G44" i="9" s="1"/>
  <c r="G45" i="9" s="1"/>
  <c r="I41" i="9"/>
  <c r="F41" i="9"/>
  <c r="N9" i="71"/>
  <c r="N10" i="71" s="1"/>
  <c r="N12" i="71" s="1"/>
  <c r="M9" i="71"/>
  <c r="M10" i="71" s="1"/>
  <c r="M12" i="71" s="1"/>
  <c r="L9" i="71"/>
  <c r="L10" i="71" s="1"/>
  <c r="L12" i="71" s="1"/>
  <c r="K9" i="71"/>
  <c r="K10" i="71" s="1"/>
  <c r="K12" i="71" s="1"/>
  <c r="D20" i="71"/>
  <c r="D19" i="71"/>
  <c r="D18" i="71"/>
  <c r="D17" i="71"/>
  <c r="D16" i="71"/>
  <c r="D15" i="71"/>
  <c r="D14" i="71"/>
  <c r="D13" i="71"/>
  <c r="F3" i="71"/>
  <c r="H6" i="71" s="1"/>
  <c r="E3" i="71"/>
  <c r="G6" i="71" s="1"/>
  <c r="J43" i="9" l="1"/>
  <c r="J44" i="9" s="1"/>
  <c r="J45" i="9" s="1"/>
  <c r="F20" i="71"/>
  <c r="F19" i="71"/>
  <c r="F18" i="71"/>
  <c r="F17" i="71"/>
  <c r="F16" i="71"/>
  <c r="F15" i="71"/>
  <c r="F14" i="71"/>
  <c r="F13" i="71"/>
  <c r="G3" i="71"/>
  <c r="F6" i="71" s="1"/>
  <c r="B8" i="65"/>
  <c r="C9" i="65" s="1"/>
  <c r="C10" i="65" s="1"/>
  <c r="C11" i="65" s="1"/>
  <c r="C12" i="65" s="1"/>
  <c r="J8" i="65"/>
  <c r="F8" i="65"/>
  <c r="F9" i="65" l="1"/>
  <c r="G8" i="65"/>
  <c r="K9" i="65"/>
  <c r="J9" i="65"/>
  <c r="J10" i="65" s="1"/>
  <c r="K33" i="64"/>
  <c r="K32" i="64"/>
  <c r="K31" i="64"/>
  <c r="K30" i="64"/>
  <c r="K29" i="64"/>
  <c r="K28" i="64"/>
  <c r="K27" i="64"/>
  <c r="F10" i="65" l="1"/>
  <c r="G9" i="65"/>
  <c r="K10" i="65"/>
  <c r="J11" i="65"/>
  <c r="L21" i="64"/>
  <c r="K21" i="64"/>
  <c r="L20" i="64"/>
  <c r="K20" i="64"/>
  <c r="L19" i="64"/>
  <c r="K19" i="64"/>
  <c r="L18" i="64"/>
  <c r="K18" i="64"/>
  <c r="L17" i="64"/>
  <c r="K17" i="64"/>
  <c r="L16" i="64"/>
  <c r="K16" i="64"/>
  <c r="E18" i="64"/>
  <c r="D18" i="64"/>
  <c r="E17" i="64"/>
  <c r="D17" i="64"/>
  <c r="E16" i="64"/>
  <c r="D16" i="64"/>
  <c r="C4" i="64"/>
  <c r="F4" i="64"/>
  <c r="G4" i="64"/>
  <c r="C5" i="64"/>
  <c r="F5" i="64"/>
  <c r="G5" i="64"/>
  <c r="C6" i="64"/>
  <c r="F6" i="64"/>
  <c r="G6" i="64"/>
  <c r="G12" i="64"/>
  <c r="F12" i="64"/>
  <c r="C12" i="64"/>
  <c r="G11" i="64"/>
  <c r="F11" i="64"/>
  <c r="C11" i="64"/>
  <c r="G10" i="64"/>
  <c r="F10" i="64"/>
  <c r="C10" i="64"/>
  <c r="G9" i="64"/>
  <c r="F9" i="64"/>
  <c r="C9" i="64"/>
  <c r="G8" i="64"/>
  <c r="F8" i="64"/>
  <c r="C8" i="64"/>
  <c r="G7" i="64"/>
  <c r="F7" i="64"/>
  <c r="C7" i="64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G16" i="57"/>
  <c r="G15" i="57"/>
  <c r="G14" i="57"/>
  <c r="G13" i="57"/>
  <c r="G12" i="57"/>
  <c r="G11" i="57"/>
  <c r="G10" i="57"/>
  <c r="G9" i="57"/>
  <c r="G8" i="57"/>
  <c r="G7" i="57"/>
  <c r="G6" i="57"/>
  <c r="G4" i="57"/>
  <c r="G5" i="57"/>
  <c r="F11" i="65" l="1"/>
  <c r="G10" i="65"/>
  <c r="J12" i="65"/>
  <c r="K12" i="65" s="1"/>
  <c r="K11" i="65"/>
  <c r="E3" i="9"/>
  <c r="G5" i="9" s="1"/>
  <c r="F3" i="9"/>
  <c r="H5" i="9" s="1"/>
  <c r="G3" i="9"/>
  <c r="F5" i="9" s="1"/>
  <c r="H3" i="9"/>
  <c r="E5" i="9" s="1"/>
  <c r="D13" i="9"/>
  <c r="E13" i="9" s="1"/>
  <c r="F13" i="9"/>
  <c r="G13" i="9"/>
  <c r="H13" i="9"/>
  <c r="D14" i="9"/>
  <c r="F14" i="9"/>
  <c r="G14" i="9"/>
  <c r="H14" i="9"/>
  <c r="D15" i="9"/>
  <c r="F15" i="9"/>
  <c r="G15" i="9"/>
  <c r="H15" i="9"/>
  <c r="D16" i="9"/>
  <c r="F16" i="9"/>
  <c r="G16" i="9"/>
  <c r="H16" i="9"/>
  <c r="D17" i="9"/>
  <c r="F17" i="9"/>
  <c r="G17" i="9"/>
  <c r="H17" i="9"/>
  <c r="D18" i="9"/>
  <c r="F18" i="9"/>
  <c r="G18" i="9"/>
  <c r="H18" i="9"/>
  <c r="D19" i="9"/>
  <c r="F19" i="9"/>
  <c r="G19" i="9"/>
  <c r="H19" i="9"/>
  <c r="D20" i="9"/>
  <c r="F20" i="9"/>
  <c r="G20" i="9"/>
  <c r="H20" i="9"/>
  <c r="D24" i="9"/>
  <c r="D25" i="9" s="1"/>
  <c r="E24" i="9"/>
  <c r="E25" i="9" s="1"/>
  <c r="F24" i="9"/>
  <c r="F25" i="9" s="1"/>
  <c r="G24" i="9"/>
  <c r="G25" i="9" s="1"/>
  <c r="F12" i="65" l="1"/>
  <c r="G12" i="65" s="1"/>
  <c r="G11" i="65"/>
</calcChain>
</file>

<file path=xl/sharedStrings.xml><?xml version="1.0" encoding="utf-8"?>
<sst xmlns="http://schemas.openxmlformats.org/spreadsheetml/2006/main" count="640" uniqueCount="192">
  <si>
    <t>DG</t>
  </si>
  <si>
    <t>wt., g</t>
  </si>
  <si>
    <t>S</t>
  </si>
  <si>
    <t>V</t>
  </si>
  <si>
    <t>DH</t>
  </si>
  <si>
    <t>a</t>
  </si>
  <si>
    <t>b</t>
  </si>
  <si>
    <t>c</t>
  </si>
  <si>
    <t>e</t>
  </si>
  <si>
    <t>d</t>
  </si>
  <si>
    <t>NO2,gas</t>
  </si>
  <si>
    <t>T</t>
  </si>
  <si>
    <t>T^-2</t>
  </si>
  <si>
    <t>T^-0.5</t>
  </si>
  <si>
    <t>T^2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</si>
  <si>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</si>
  <si>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</si>
  <si>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</si>
  <si>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</si>
  <si>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</si>
  <si>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</si>
  <si>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</si>
  <si>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</si>
  <si>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</si>
  <si>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</si>
  <si>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</si>
  <si>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</si>
  <si>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</si>
  <si>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</si>
  <si>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</si>
  <si>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</si>
  <si>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</si>
  <si>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</si>
  <si>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</si>
  <si>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</si>
  <si>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</si>
  <si>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</si>
  <si>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</si>
  <si>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</si>
  <si>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</si>
  <si>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</si>
  <si>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</si>
  <si>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regressed values</t>
  </si>
  <si>
    <t>Cp - J</t>
  </si>
  <si>
    <t>Cp - cal</t>
  </si>
  <si>
    <t>converted to slop 4-term</t>
  </si>
  <si>
    <t>T(C)</t>
  </si>
  <si>
    <t>Evans, K.A., Powell, R. &amp; Holland, T.J.B., 2010. Inter-</t>
  </si>
  <si>
    <t>nally consistent data for sulphur-bearing phases and</t>
  </si>
  <si>
    <t>applications to the constructions for mafic greenschists facies</t>
  </si>
  <si>
    <t>rocks in Na 2 O-CaO-K 2 O-FeO-MgO-Al 2 O3 -SiO2 -CO2 -O-S-H 2 O.</t>
  </si>
  <si>
    <t>Journal of Metamorphic Geology, 28, 667–687.</t>
  </si>
  <si>
    <t>Holland and Powell 2011 reference this:</t>
  </si>
  <si>
    <t>Symonds</t>
  </si>
  <si>
    <t>H&amp;P</t>
  </si>
  <si>
    <t>S(liq)Sy</t>
  </si>
  <si>
    <t>S(mono)Sy</t>
  </si>
  <si>
    <t>S(ortho)HP</t>
  </si>
  <si>
    <t>S(ortho)Sy</t>
  </si>
  <si>
    <t>T, K</t>
  </si>
  <si>
    <t>T, C</t>
  </si>
  <si>
    <t>Cp</t>
  </si>
  <si>
    <t>Local regression</t>
  </si>
  <si>
    <t>actual values</t>
  </si>
  <si>
    <t>Cp from coeffs above</t>
  </si>
  <si>
    <t>J</t>
  </si>
  <si>
    <t>cal</t>
  </si>
  <si>
    <t>Pankratz</t>
  </si>
  <si>
    <t>ortho-mono transition betweeen 100 and 200</t>
  </si>
  <si>
    <t>difference</t>
  </si>
  <si>
    <t>ortho-mono</t>
  </si>
  <si>
    <t>mono-liq</t>
  </si>
  <si>
    <t>Exactly as for Pankratz</t>
  </si>
  <si>
    <t>to</t>
  </si>
  <si>
    <t>G</t>
  </si>
  <si>
    <t>H</t>
  </si>
  <si>
    <t>S,S</t>
  </si>
  <si>
    <t>S,Si</t>
  </si>
  <si>
    <t>S,O2</t>
  </si>
  <si>
    <t>sum</t>
  </si>
  <si>
    <t>=sum/4.184</t>
  </si>
  <si>
    <t>T*DS</t>
  </si>
  <si>
    <t>DG=DH-T*DS</t>
  </si>
  <si>
    <t>Quartz</t>
  </si>
  <si>
    <t>S,mono</t>
  </si>
  <si>
    <t>S,ortho</t>
  </si>
  <si>
    <t>S,liq-a</t>
  </si>
  <si>
    <t>S,Pankratz</t>
  </si>
  <si>
    <t>S for T*DS</t>
  </si>
  <si>
    <t>Third law entropy</t>
  </si>
  <si>
    <t>*JA85 ... NIST-JANAF Thermochemical Tables. NIST Standard Reference Database 13.</t>
  </si>
  <si>
    <t>*      Version 1.0 (1985). Data compiled and evaluated by M.W. Chase, Jr.,</t>
  </si>
  <si>
    <t>*      C.A. Davies, J.R. Downey, Jr., D.J. Frurip, R.A. McDonald, and A.N. Syverud</t>
  </si>
  <si>
    <t>*      Distributed by Standard Reference Data Program National Institute of Standards</t>
  </si>
  <si>
    <t>*      and Technology. Gaithersburg, MD 20899. https://janaf.nist.gov/</t>
  </si>
  <si>
    <t>Sulfur (S)</t>
  </si>
  <si>
    <t>S1(ref)</t>
  </si>
  <si>
    <t>T(K)</t>
  </si>
  <si>
    <t>-[G-H(Tr)]/T</t>
  </si>
  <si>
    <t>H-H(Tr)</t>
  </si>
  <si>
    <t>delta-f H</t>
  </si>
  <si>
    <t>delta-f G</t>
  </si>
  <si>
    <t>log Kf</t>
  </si>
  <si>
    <t>INFINITE</t>
  </si>
  <si>
    <t>ALPHA &lt;--&gt; BETA</t>
  </si>
  <si>
    <t>TRANSITION</t>
  </si>
  <si>
    <t>BETA &lt;--&gt; LIQUID</t>
  </si>
  <si>
    <t>Cp LAMBDA MAXIMUM</t>
  </si>
  <si>
    <t>LIQUID &lt;--&gt; IDEAL GAS</t>
  </si>
  <si>
    <t>FUGACITY = 1 bar</t>
  </si>
  <si>
    <t>Main link:</t>
  </si>
  <si>
    <t>https://janaf.nist.gov/tables/S-index.html</t>
  </si>
  <si>
    <t>Reference "ref"</t>
  </si>
  <si>
    <t>https://janaf.nist.gov/tables/S-001.html</t>
  </si>
  <si>
    <t>https://janaf.nist.gov/tables/S-001.txt</t>
  </si>
  <si>
    <t>&gt;JNF-Sulfur-001-unlisted.txt</t>
  </si>
  <si>
    <t>Orthorhombic "cr"</t>
  </si>
  <si>
    <t>https://janaf.nist.gov/tables/S-002.html</t>
  </si>
  <si>
    <t>https://janaf.nist.gov/tables/S-002.txt</t>
  </si>
  <si>
    <t>&gt;JNF-Sulfur-002-ortho.txt</t>
  </si>
  <si>
    <t>Monoclinic "cr"</t>
  </si>
  <si>
    <t>https://janaf.nist.gov/tables/S-003.html</t>
  </si>
  <si>
    <t>https://janaf.nist.gov/tables/S-003.txt</t>
  </si>
  <si>
    <t>JNF-Sulfur-003-mono.txt</t>
  </si>
  <si>
    <t>Liquid "l"</t>
  </si>
  <si>
    <t>https://janaf.nist.gov/tables/S-004.html</t>
  </si>
  <si>
    <t>https://janaf.nist.gov/tables/S-004.txt</t>
  </si>
  <si>
    <t>JNF-Sulfur-004-liq.txt</t>
  </si>
  <si>
    <t>cr,l</t>
  </si>
  <si>
    <t>https://janaf.nist.gov/tables/S-005.html</t>
  </si>
  <si>
    <t>https://janaf.nist.gov/tables/S-005.txt</t>
  </si>
  <si>
    <t>JNF-Sulfur-005-cr,l.txt</t>
  </si>
  <si>
    <t>S1(cr)</t>
  </si>
  <si>
    <t>Sulfur, Monoclinic (S)</t>
  </si>
  <si>
    <t>Sulfur, Orthorhombic (S)</t>
  </si>
  <si>
    <t>S1(l)</t>
  </si>
  <si>
    <t>S1(cr,l)</t>
  </si>
  <si>
    <t>convert to cals</t>
  </si>
  <si>
    <t>Entropy refresher:</t>
  </si>
  <si>
    <t>sprons</t>
  </si>
  <si>
    <t>sprons value verfied</t>
  </si>
  <si>
    <t>j</t>
  </si>
  <si>
    <t>Sulfur, ortho</t>
  </si>
  <si>
    <t>S, sulfur</t>
  </si>
  <si>
    <t>sprons current</t>
  </si>
  <si>
    <t>none for HP</t>
  </si>
  <si>
    <t>HPthrm raw kJ</t>
  </si>
  <si>
    <t>ordered for sprons</t>
  </si>
  <si>
    <t>ordered as in Robie</t>
  </si>
  <si>
    <t>conv to cals</t>
  </si>
  <si>
    <t>scale factor</t>
  </si>
  <si>
    <t>as in sprons</t>
  </si>
  <si>
    <t>H&amp;P kJ</t>
  </si>
  <si>
    <t>conv to J</t>
  </si>
  <si>
    <t>Entropy of formation</t>
  </si>
  <si>
    <t>Robie, Elements</t>
  </si>
  <si>
    <t>S third law minus sum S elements</t>
  </si>
  <si>
    <t>H&amp;P Joules</t>
  </si>
  <si>
    <t>Mono</t>
  </si>
  <si>
    <t>Ortho</t>
  </si>
  <si>
    <t>Ref</t>
  </si>
  <si>
    <t>Liquid</t>
  </si>
  <si>
    <t>?????</t>
  </si>
  <si>
    <t>JANAF, raw</t>
  </si>
  <si>
    <t>H&amp;P, calc'd</t>
  </si>
  <si>
    <t>Paste and check values</t>
  </si>
  <si>
    <t>Sulfur, liquid</t>
  </si>
  <si>
    <t>cals</t>
  </si>
  <si>
    <t>g/mole</t>
  </si>
  <si>
    <t>g/cc</t>
  </si>
  <si>
    <t>cc/g</t>
  </si>
  <si>
    <t>cc/mole</t>
  </si>
  <si>
    <t>https://www.aqua-calc.com/page/density-table/substance/liquid-blank-sulfur</t>
  </si>
  <si>
    <t>1. Compound summary: liquid sulfur. National Center for Biotechnology Information; U.S. National Library of Medicine; 8600 Rockville Pike; Bethesda, MD 20894 USA. Last accessed: 29 August 2020 (pubchem.ncbi.nlm.nih.gov/compound).</t>
  </si>
  <si>
    <t>Sulfur, mono</t>
  </si>
  <si>
    <t>J/kJ</t>
  </si>
  <si>
    <t>DH, DG: kJ·mol-1</t>
  </si>
  <si>
    <r>
      <t>S: J·K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 mol</t>
    </r>
    <r>
      <rPr>
        <b/>
        <vertAlign val="superscript"/>
        <sz val="12"/>
        <rFont val="Arial"/>
        <family val="2"/>
      </rPr>
      <t>-1</t>
    </r>
  </si>
  <si>
    <t>check values</t>
  </si>
  <si>
    <t>S,S elem</t>
  </si>
  <si>
    <t>S, ortho</t>
  </si>
  <si>
    <t>S, mono</t>
  </si>
  <si>
    <t>=sum</t>
  </si>
  <si>
    <t>Shock</t>
  </si>
  <si>
    <t>cal = J/4.184</t>
  </si>
  <si>
    <t>JANAF</t>
  </si>
  <si>
    <t>S(ortho)</t>
  </si>
  <si>
    <t>S(liq)</t>
  </si>
  <si>
    <t>S(liq)7.6</t>
  </si>
  <si>
    <t>H0</t>
  </si>
  <si>
    <t>E7.6</t>
  </si>
  <si>
    <t>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</si>
</sst>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0.0"/>
    <numFmt numFmtId="167" formatCode="0.000000"/>
    <numFmt numFmtId="168" formatCode="0.000E+00"/>
    <numFmt numFmtId="169" formatCode="0.00000"/>
  </numFmts>
  <fonts count="14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 Unicode MS"/>
    </font>
    <font>
      <b/>
      <vertAlign val="superscript"/>
      <sz val="12"/>
      <name val="Arial"/>
      <family val="2"/>
    </font>
    <font>
      <sz val="10"/>
      <color rgb="FF006100"/>
      <name val="Arial"/>
      <family val="2"/>
    </font>
    <font>
      <sz val="11"/>
      <color rgb="FF006100"/>
      <name val="Arial"/>
      <family val="2"/>
    </font>
    <font>
      <b/>
      <sz val="10"/>
      <color rgb="FF9C5700"/>
      <name val="Arial"/>
      <family val="2"/>
    </font>
    <font>
      <sz val="10"/>
      <color rgb="FF9C57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49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2" fillId="0" borderId="0" xfId="0" applyFont="1"/>
    <xf numFmtId="0" fontId="0" fillId="2" borderId="0" xfId="0" applyFill="1"/>
    <xf numFmtId="165" fontId="0" fillId="3" borderId="0" xfId="0" applyNumberFormat="1" applyFill="1"/>
    <xf numFmtId="166" fontId="0" fillId="3" borderId="0" xfId="0" applyNumberFormat="1" applyFill="1"/>
    <xf numFmtId="167" fontId="0" fillId="3" borderId="0" xfId="0" applyNumberFormat="1" applyFill="1"/>
    <xf numFmtId="165" fontId="0" fillId="0" borderId="0" xfId="0" applyNumberFormat="1"/>
    <xf numFmtId="166" fontId="0" fillId="0" borderId="0" xfId="0" applyNumberForma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8" fontId="0" fillId="2" borderId="0" xfId="0" applyNumberFormat="1" applyFill="1"/>
    <xf numFmtId="0" fontId="4" fillId="0" borderId="0" xfId="0" applyFont="1"/>
    <xf numFmtId="0" fontId="5" fillId="0" borderId="0" xfId="0" applyFont="1"/>
    <xf numFmtId="164" fontId="6" fillId="4" borderId="0" xfId="1" applyNumberFormat="1"/>
    <xf numFmtId="0" fontId="1" fillId="0" borderId="0" xfId="0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8" fillId="0" borderId="0" xfId="0" applyFont="1" applyAlignment="1">
      <alignment vertical="center"/>
    </xf>
    <xf numFmtId="0" fontId="0" fillId="6" borderId="0" xfId="0" applyFill="1"/>
    <xf numFmtId="0" fontId="0" fillId="7" borderId="0" xfId="0" applyFill="1"/>
    <xf numFmtId="164" fontId="0" fillId="7" borderId="0" xfId="0" applyNumberFormat="1" applyFill="1"/>
    <xf numFmtId="169" fontId="0" fillId="0" borderId="0" xfId="0" applyNumberFormat="1"/>
    <xf numFmtId="169" fontId="0" fillId="6" borderId="0" xfId="0" applyNumberFormat="1" applyFill="1"/>
    <xf numFmtId="168" fontId="0" fillId="0" borderId="0" xfId="0" applyNumberFormat="1"/>
    <xf numFmtId="0" fontId="0" fillId="0" borderId="0" xfId="0" applyAlignment="1">
      <alignment horizontal="right"/>
    </xf>
    <xf numFmtId="0" fontId="4" fillId="2" borderId="0" xfId="0" applyFont="1" applyFill="1"/>
    <xf numFmtId="165" fontId="4" fillId="0" borderId="0" xfId="0" applyNumberFormat="1" applyFont="1"/>
    <xf numFmtId="166" fontId="4" fillId="0" borderId="0" xfId="0" applyNumberFormat="1" applyFont="1"/>
    <xf numFmtId="166" fontId="4" fillId="3" borderId="0" xfId="0" applyNumberFormat="1" applyFont="1" applyFill="1"/>
    <xf numFmtId="165" fontId="4" fillId="3" borderId="0" xfId="0" applyNumberFormat="1" applyFont="1" applyFill="1"/>
    <xf numFmtId="168" fontId="4" fillId="2" borderId="0" xfId="0" applyNumberFormat="1" applyFont="1" applyFill="1"/>
    <xf numFmtId="11" fontId="4" fillId="0" borderId="0" xfId="0" applyNumberFormat="1" applyFont="1"/>
    <xf numFmtId="164" fontId="4" fillId="0" borderId="0" xfId="0" applyNumberFormat="1" applyFont="1"/>
    <xf numFmtId="167" fontId="4" fillId="3" borderId="0" xfId="0" applyNumberFormat="1" applyFont="1" applyFill="1"/>
    <xf numFmtId="0" fontId="0" fillId="8" borderId="0" xfId="0" applyFill="1"/>
    <xf numFmtId="0" fontId="6" fillId="4" borderId="0" xfId="1"/>
    <xf numFmtId="0" fontId="10" fillId="4" borderId="0" xfId="1" applyFont="1"/>
    <xf numFmtId="0" fontId="11" fillId="4" borderId="0" xfId="1" applyFont="1"/>
    <xf numFmtId="0" fontId="4" fillId="0" borderId="0" xfId="0" applyFont="1" applyAlignment="1">
      <alignment vertical="center"/>
    </xf>
    <xf numFmtId="0" fontId="12" fillId="5" borderId="0" xfId="2" applyFont="1"/>
    <xf numFmtId="0" fontId="13" fillId="5" borderId="0" xfId="2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99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Symonds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'graphs-JNF'!$B$3</c:f>
              <c:strCache>
                <c:ptCount val="1"/>
                <c:pt idx="0">
                  <c:v>S(ortho)Sy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'graphs-JNF'!$A$4:$A$16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'graphs-JNF'!$B$4:$B$16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23-4F0E-8FA3-DB301ECDB308}"/>
            </c:ext>
          </c:extLst>
        </c:ser>
        <c:ser>
          <c:idx val="1"/>
          <c:order val="1"/>
          <c:tx>
            <c:strRef>
              <c:f>'graphs-JNF'!$C$3</c:f>
              <c:strCache>
                <c:ptCount val="1"/>
                <c:pt idx="0">
                  <c:v>S(mono)Sy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'graphs-JNF'!$A$4:$A$16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'graphs-JNF'!$C$4:$C$16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23-4F0E-8FA3-DB301ECDB308}"/>
            </c:ext>
          </c:extLst>
        </c:ser>
        <c:ser>
          <c:idx val="2"/>
          <c:order val="2"/>
          <c:tx>
            <c:strRef>
              <c:f>'graphs-JNF'!$D$3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'graphs-JNF'!$A$4:$A$16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'graphs-JNF'!$D$4:$D$16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23-4F0E-8FA3-DB301ECD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642032"/>
        <c:axId val="1680662160"/>
      </c:scatterChart>
      <c:valAx>
        <c:axId val="102564203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662160"/>
        <c:crosses val="autoZero"/>
        <c:crossBetween val="midCat"/>
      </c:valAx>
      <c:valAx>
        <c:axId val="1680662160"/>
        <c:scaling>
          <c:orientation val="minMax"/>
          <c:max val="6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642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'liq-JNF'!$C$13:$C$17</c:f>
              <c:numCache>
                <c:formatCode>General</c:formatCode>
                <c:ptCount val="5"/>
                <c:pt idx="0">
                  <c:v>388.36</c:v>
                </c:pt>
                <c:pt idx="1">
                  <c:v>400</c:v>
                </c:pt>
                <c:pt idx="2">
                  <c:v>432.02</c:v>
                </c:pt>
              </c:numCache>
            </c:numRef>
          </c:xVal>
          <c:yVal>
            <c:numRef>
              <c:f>'liq-JNF'!$D$13:$D$17</c:f>
              <c:numCache>
                <c:formatCode>0.0000</c:formatCode>
                <c:ptCount val="5"/>
                <c:pt idx="0">
                  <c:v>31.058</c:v>
                </c:pt>
                <c:pt idx="1">
                  <c:v>32.161999999999999</c:v>
                </c:pt>
                <c:pt idx="2">
                  <c:v>53.829000000000001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DC-4064-89D6-228D86A6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318351"/>
        <c:axId val="65742255"/>
      </c:scatterChart>
      <c:valAx>
        <c:axId val="1528318351"/>
        <c:scaling>
          <c:orientation val="minMax"/>
          <c:min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42255"/>
        <c:crosses val="autoZero"/>
        <c:crossBetween val="midCat"/>
      </c:valAx>
      <c:valAx>
        <c:axId val="6574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318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'graphs-JNF'!$K$3</c:f>
              <c:strCache>
                <c:ptCount val="1"/>
                <c:pt idx="0">
                  <c:v>S(ortho)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'graphs-JNF'!$J$4:$J$16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'graphs-JNF'!$K$4:$K$16</c:f>
              <c:numCache>
                <c:formatCode>General</c:formatCode>
                <c:ptCount val="13"/>
                <c:pt idx="0">
                  <c:v>5.8040000000000003</c:v>
                </c:pt>
                <c:pt idx="1">
                  <c:v>5.0529999999999999</c:v>
                </c:pt>
                <c:pt idx="2">
                  <c:v>4.3479999999999999</c:v>
                </c:pt>
                <c:pt idx="3">
                  <c:v>3.8359999999999999</c:v>
                </c:pt>
                <c:pt idx="4">
                  <c:v>3.4390000000000001</c:v>
                </c:pt>
                <c:pt idx="5">
                  <c:v>3.1190000000000002</c:v>
                </c:pt>
                <c:pt idx="6">
                  <c:v>2.8530000000000002</c:v>
                </c:pt>
                <c:pt idx="7">
                  <c:v>2.6269999999999998</c:v>
                </c:pt>
                <c:pt idx="8">
                  <c:v>2.4319999999999999</c:v>
                </c:pt>
                <c:pt idx="9">
                  <c:v>2.2610000000000001</c:v>
                </c:pt>
                <c:pt idx="10">
                  <c:v>2.11</c:v>
                </c:pt>
                <c:pt idx="11">
                  <c:v>1.9750000000000001</c:v>
                </c:pt>
                <c:pt idx="12">
                  <c:v>1.8540000000000001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1E-45B3-B378-8362AC5CD790}"/>
            </c:ext>
          </c:extLst>
        </c:ser>
        <c:ser>
          <c:idx val="1"/>
          <c:order val="1"/>
          <c:tx>
            <c:strRef>
              <c:f>'graphs-JNF'!$L$3</c:f>
              <c:strCache>
                <c:ptCount val="1"/>
                <c:pt idx="0">
                  <c:v>S(liq)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'graphs-JNF'!$J$4:$J$16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'graphs-JNF'!$L$4:$L$16</c:f>
              <c:numCache>
                <c:formatCode>General</c:formatCode>
                <c:ptCount val="13"/>
                <c:pt idx="0">
                  <c:v>5.8789999999999996</c:v>
                </c:pt>
                <c:pt idx="1">
                  <c:v>4.9710000000000001</c:v>
                </c:pt>
                <c:pt idx="2">
                  <c:v>4.1429999999999998</c:v>
                </c:pt>
                <c:pt idx="3">
                  <c:v>3.4289999999999998</c:v>
                </c:pt>
                <c:pt idx="4">
                  <c:v>2.5009999999999999</c:v>
                </c:pt>
                <c:pt idx="5">
                  <c:v>1.194</c:v>
                </c:pt>
                <c:pt idx="6">
                  <c:v>-0.55400000000000005</c:v>
                </c:pt>
                <c:pt idx="7">
                  <c:v>-2.7519999999999998</c:v>
                </c:pt>
                <c:pt idx="8">
                  <c:v>-5.3860000000000001</c:v>
                </c:pt>
                <c:pt idx="9">
                  <c:v>-8.4320000000000004</c:v>
                </c:pt>
                <c:pt idx="10">
                  <c:v>-11.859</c:v>
                </c:pt>
                <c:pt idx="11">
                  <c:v>-15.638999999999999</c:v>
                </c:pt>
                <c:pt idx="12">
                  <c:v>-19.745000000000001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E-45B3-B378-8362AC5CD790}"/>
            </c:ext>
          </c:extLst>
        </c:ser>
        <c:ser>
          <c:idx val="2"/>
          <c:order val="2"/>
          <c:tx>
            <c:strRef>
              <c:f>'graphs-JNF'!$M$3</c:f>
              <c:strCache>
                <c:ptCount val="1"/>
                <c:pt idx="0">
                  <c:v>S(liq)7.6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'graphs-JNF'!$J$4:$J$16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'graphs-JNF'!$M$4:$M$16</c:f>
              <c:numCache>
                <c:formatCode>General</c:formatCode>
                <c:ptCount val="13"/>
                <c:pt idx="0">
                  <c:v>5.8789999999999996</c:v>
                </c:pt>
                <c:pt idx="1">
                  <c:v>4.9710000000000001</c:v>
                </c:pt>
                <c:pt idx="2">
                  <c:v>4.1429999999999998</c:v>
                </c:pt>
                <c:pt idx="3">
                  <c:v>3.4289999999999998</c:v>
                </c:pt>
                <c:pt idx="4">
                  <c:v>2.5009999999999999</c:v>
                </c:pt>
                <c:pt idx="5">
                  <c:v>1.194</c:v>
                </c:pt>
                <c:pt idx="6">
                  <c:v>-0.55400000000000005</c:v>
                </c:pt>
                <c:pt idx="7">
                  <c:v>-2.7519999999999998</c:v>
                </c:pt>
                <c:pt idx="8">
                  <c:v>-5.3860000000000001</c:v>
                </c:pt>
                <c:pt idx="9">
                  <c:v>-8.4320000000000004</c:v>
                </c:pt>
                <c:pt idx="10">
                  <c:v>-11.859</c:v>
                </c:pt>
                <c:pt idx="11">
                  <c:v>-15.638999999999999</c:v>
                </c:pt>
                <c:pt idx="12">
                  <c:v>-19.745000000000001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1E-45B3-B378-8362AC5CD790}"/>
            </c:ext>
          </c:extLst>
        </c:ser>
        <c:ser>
          <c:idx val="3"/>
          <c:order val="3"/>
          <c:tx>
            <c:strRef>
              <c:f>'graphs-JNF'!$N$3</c:f>
              <c:strCache>
                <c:ptCount val="1"/>
                <c:pt idx="0">
                  <c:v>H0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'graphs-JNF'!$J$4:$J$16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'graphs-JNF'!$N$4:$N$16</c:f>
              <c:numCache>
                <c:formatCode>General</c:formatCode>
                <c:ptCount val="13"/>
                <c:pt idx="0">
                  <c:v>5.8040000000000003</c:v>
                </c:pt>
                <c:pt idx="1">
                  <c:v>4.9109999999999996</c:v>
                </c:pt>
                <c:pt idx="2">
                  <c:v>4.0949999999999998</c:v>
                </c:pt>
                <c:pt idx="3">
                  <c:v>3.39</c:v>
                </c:pt>
                <c:pt idx="4">
                  <c:v>2.4670000000000001</c:v>
                </c:pt>
                <c:pt idx="5">
                  <c:v>1.165</c:v>
                </c:pt>
                <c:pt idx="6">
                  <c:v>-0.57999999999999996</c:v>
                </c:pt>
                <c:pt idx="7">
                  <c:v>-2.7749999999999999</c:v>
                </c:pt>
                <c:pt idx="8">
                  <c:v>-5.407</c:v>
                </c:pt>
                <c:pt idx="9">
                  <c:v>-8.4510000000000005</c:v>
                </c:pt>
                <c:pt idx="10">
                  <c:v>-11.877000000000001</c:v>
                </c:pt>
                <c:pt idx="11">
                  <c:v>-15.656000000000001</c:v>
                </c:pt>
                <c:pt idx="12">
                  <c:v>-19.760000000000002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E-45B3-B378-8362AC5CD790}"/>
            </c:ext>
          </c:extLst>
        </c:ser>
        <c:ser>
          <c:idx val="4"/>
          <c:order val="4"/>
          <c:tx>
            <c:strRef>
              <c:f>'graphs-JNF'!$O$3</c:f>
              <c:strCache>
                <c:ptCount val="1"/>
                <c:pt idx="0">
                  <c:v>E7.6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'graphs-JNF'!$J$4:$J$16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'graphs-JNF'!$O$4:$O$16</c:f>
              <c:numCache>
                <c:formatCode>General</c:formatCode>
                <c:ptCount val="13"/>
                <c:pt idx="0">
                  <c:v>5.8789999999999996</c:v>
                </c:pt>
                <c:pt idx="1">
                  <c:v>5.0209999999999999</c:v>
                </c:pt>
                <c:pt idx="2">
                  <c:v>4.2350000000000003</c:v>
                </c:pt>
                <c:pt idx="3">
                  <c:v>3.5489999999999999</c:v>
                </c:pt>
                <c:pt idx="4">
                  <c:v>2.64</c:v>
                </c:pt>
                <c:pt idx="5">
                  <c:v>1.347</c:v>
                </c:pt>
                <c:pt idx="6">
                  <c:v>-0.39</c:v>
                </c:pt>
                <c:pt idx="7">
                  <c:v>-2.5790000000000002</c:v>
                </c:pt>
                <c:pt idx="8">
                  <c:v>-5.2060000000000004</c:v>
                </c:pt>
                <c:pt idx="9">
                  <c:v>-8.2460000000000004</c:v>
                </c:pt>
                <c:pt idx="10">
                  <c:v>-11.667999999999999</c:v>
                </c:pt>
                <c:pt idx="11">
                  <c:v>-15.444000000000001</c:v>
                </c:pt>
                <c:pt idx="12">
                  <c:v>-19.545999999999999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1E-45B3-B378-8362AC5CD790}"/>
            </c:ext>
          </c:extLst>
        </c:ser>
        <c:ser>
          <c:idx val="5"/>
          <c:order val="5"/>
          <c:tx>
            <c:strRef>
              <c:f>'graphs-JNF'!$P$3</c:f>
              <c:strCache>
                <c:ptCount val="1"/>
                <c:pt idx="0">
                  <c:v>E10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'graphs-JNF'!$J$4:$J$16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'graphs-JNF'!$P$4:$P$16</c:f>
              <c:numCache>
                <c:formatCode>General</c:formatCode>
                <c:ptCount val="13"/>
                <c:pt idx="0">
                  <c:v>5.8789999999999996</c:v>
                </c:pt>
                <c:pt idx="1">
                  <c:v>4.8970000000000002</c:v>
                </c:pt>
                <c:pt idx="2">
                  <c:v>4.0069999999999997</c:v>
                </c:pt>
                <c:pt idx="3">
                  <c:v>3.2530000000000001</c:v>
                </c:pt>
                <c:pt idx="4">
                  <c:v>2.2959999999999998</c:v>
                </c:pt>
                <c:pt idx="5">
                  <c:v>0.96799999999999997</c:v>
                </c:pt>
                <c:pt idx="6">
                  <c:v>-0.79600000000000004</c:v>
                </c:pt>
                <c:pt idx="7">
                  <c:v>-3.0070000000000001</c:v>
                </c:pt>
                <c:pt idx="8">
                  <c:v>-5.6520000000000001</c:v>
                </c:pt>
                <c:pt idx="9">
                  <c:v>-8.7059999999999995</c:v>
                </c:pt>
                <c:pt idx="10">
                  <c:v>-12.141</c:v>
                </c:pt>
                <c:pt idx="11">
                  <c:v>-15.927</c:v>
                </c:pt>
                <c:pt idx="12">
                  <c:v>-20.038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1E-45B3-B378-8362AC5C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9168"/>
        <c:axId val="1241031360"/>
      </c:scatterChart>
      <c:valAx>
        <c:axId val="117639168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031360"/>
        <c:crosses val="autoZero"/>
        <c:crossBetween val="midCat"/>
      </c:valAx>
      <c:valAx>
        <c:axId val="1241031360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9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Symonds</a:t>
            </a:r>
            <a:r>
              <a:rPr lang="en-US" baseline="0"/>
              <a:t> Only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37209477516904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46824386131685E-2"/>
          <c:y val="6.4017352860478244E-2"/>
          <c:w val="0.93306130013930488"/>
          <c:h val="0.845376280627643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'graphs old'!$C$3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old'!$C$4:$C$16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E1-401D-844B-E989321E8F97}"/>
            </c:ext>
          </c:extLst>
        </c:ser>
        <c:ser>
          <c:idx val="1"/>
          <c:order val="1"/>
          <c:tx>
            <c:strRef>
              <c:f>'graphs old'!$D$3</c:f>
              <c:strCache>
                <c:ptCount val="1"/>
                <c:pt idx="0">
                  <c:v>S(mono)Sy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old'!$D$4:$D$16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E1-401D-844B-E989321E8F97}"/>
            </c:ext>
          </c:extLst>
        </c:ser>
        <c:ser>
          <c:idx val="2"/>
          <c:order val="2"/>
          <c:tx>
            <c:strRef>
              <c:f>'graphs old'!$E$3</c:f>
              <c:strCache>
                <c:ptCount val="1"/>
                <c:pt idx="0">
                  <c:v>S(ortho)Sy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old'!$E$4:$E$16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E1-401D-844B-E989321E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967792"/>
        <c:axId val="1921265440"/>
      </c:scatterChart>
      <c:valAx>
        <c:axId val="1929967792"/>
        <c:scaling>
          <c:orientation val="minMax"/>
          <c:max val="3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65440"/>
        <c:crosses val="autoZero"/>
        <c:crossBetween val="midCat"/>
      </c:valAx>
      <c:valAx>
        <c:axId val="1921265440"/>
        <c:scaling>
          <c:orientation val="minMax"/>
          <c:max val="6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96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Symonds and</a:t>
            </a:r>
            <a:r>
              <a:rPr lang="en-US" baseline="0"/>
              <a:t> adding </a:t>
            </a:r>
            <a:r>
              <a:rPr lang="en-US"/>
              <a:t>+ H&amp;P(ortho)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653298772436055E-2"/>
          <c:y val="7.8313431979061029E-2"/>
          <c:w val="0.92676282170889779"/>
          <c:h val="0.79211082588690018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'graphs old'!$C$3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old'!$C$4:$C$16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13-4920-A5F6-6627669E9658}"/>
            </c:ext>
          </c:extLst>
        </c:ser>
        <c:ser>
          <c:idx val="1"/>
          <c:order val="1"/>
          <c:tx>
            <c:strRef>
              <c:f>'graphs old'!$D$3</c:f>
              <c:strCache>
                <c:ptCount val="1"/>
                <c:pt idx="0">
                  <c:v>S(mono)Sy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old'!$D$4:$D$16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13-4920-A5F6-6627669E9658}"/>
            </c:ext>
          </c:extLst>
        </c:ser>
        <c:ser>
          <c:idx val="2"/>
          <c:order val="2"/>
          <c:tx>
            <c:strRef>
              <c:f>'graphs old'!$E$3</c:f>
              <c:strCache>
                <c:ptCount val="1"/>
                <c:pt idx="0">
                  <c:v>S(ortho)Sy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old'!$E$4:$E$16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13-4920-A5F6-6627669E9658}"/>
            </c:ext>
          </c:extLst>
        </c:ser>
        <c:ser>
          <c:idx val="3"/>
          <c:order val="3"/>
          <c:tx>
            <c:strRef>
              <c:f>'graphs old'!$F$3</c:f>
              <c:strCache>
                <c:ptCount val="1"/>
                <c:pt idx="0">
                  <c:v>S(ortho)HP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old'!$F$4:$F$16</c:f>
              <c:numCache>
                <c:formatCode>General</c:formatCode>
                <c:ptCount val="13"/>
                <c:pt idx="0">
                  <c:v>5.8040000000000003</c:v>
                </c:pt>
                <c:pt idx="1">
                  <c:v>5.0529999999999999</c:v>
                </c:pt>
                <c:pt idx="2">
                  <c:v>4.3479999999999999</c:v>
                </c:pt>
                <c:pt idx="3">
                  <c:v>3.8359999999999999</c:v>
                </c:pt>
                <c:pt idx="4">
                  <c:v>3.4390000000000001</c:v>
                </c:pt>
                <c:pt idx="5">
                  <c:v>3.1190000000000002</c:v>
                </c:pt>
                <c:pt idx="6">
                  <c:v>2.8530000000000002</c:v>
                </c:pt>
                <c:pt idx="7">
                  <c:v>2.6269999999999998</c:v>
                </c:pt>
                <c:pt idx="8">
                  <c:v>2.4319999999999999</c:v>
                </c:pt>
                <c:pt idx="9">
                  <c:v>2.2610000000000001</c:v>
                </c:pt>
                <c:pt idx="10">
                  <c:v>2.11</c:v>
                </c:pt>
                <c:pt idx="11">
                  <c:v>1.9750000000000001</c:v>
                </c:pt>
                <c:pt idx="12">
                  <c:v>1.8540000000000001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13-4920-A5F6-6627669E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967792"/>
        <c:axId val="1921265440"/>
      </c:scatterChart>
      <c:valAx>
        <c:axId val="192996779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65440"/>
        <c:crosses val="autoZero"/>
        <c:crossBetween val="midCat"/>
      </c:valAx>
      <c:valAx>
        <c:axId val="1921265440"/>
        <c:scaling>
          <c:orientation val="minMax"/>
          <c:max val="6"/>
          <c:min val="4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96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H&amp;P-ortho, Symonds-liq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 old'!$K$3</c:f>
              <c:strCache>
                <c:ptCount val="1"/>
                <c:pt idx="0">
                  <c:v>S(ortho)HP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'graphs old'!$J$4:$J$16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old'!$K$4:$K$16</c:f>
              <c:numCache>
                <c:formatCode>General</c:formatCode>
                <c:ptCount val="13"/>
                <c:pt idx="0">
                  <c:v>5.8040000000000003</c:v>
                </c:pt>
                <c:pt idx="1">
                  <c:v>5.0529999999999999</c:v>
                </c:pt>
                <c:pt idx="2">
                  <c:v>4.3479999999999999</c:v>
                </c:pt>
                <c:pt idx="3">
                  <c:v>3.8359999999999999</c:v>
                </c:pt>
                <c:pt idx="4">
                  <c:v>3.4390000000000001</c:v>
                </c:pt>
                <c:pt idx="5">
                  <c:v>3.1190000000000002</c:v>
                </c:pt>
                <c:pt idx="6">
                  <c:v>2.8530000000000002</c:v>
                </c:pt>
                <c:pt idx="7">
                  <c:v>2.6269999999999998</c:v>
                </c:pt>
                <c:pt idx="8">
                  <c:v>2.4319999999999999</c:v>
                </c:pt>
                <c:pt idx="9">
                  <c:v>2.2610000000000001</c:v>
                </c:pt>
                <c:pt idx="10">
                  <c:v>2.11</c:v>
                </c:pt>
                <c:pt idx="11">
                  <c:v>1.9750000000000001</c:v>
                </c:pt>
                <c:pt idx="12">
                  <c:v>1.8540000000000001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34-4BF4-808D-539649D0AD67}"/>
            </c:ext>
          </c:extLst>
        </c:ser>
        <c:ser>
          <c:idx val="1"/>
          <c:order val="1"/>
          <c:tx>
            <c:strRef>
              <c:f>'graphs old'!$L$3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'graphs old'!$J$4:$J$16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old'!$L$4:$L$16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34-4BF4-808D-539649D0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480128"/>
        <c:axId val="1546403776"/>
      </c:scatterChart>
      <c:valAx>
        <c:axId val="1635480128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6403776"/>
        <c:crosses val="autoZero"/>
        <c:crossBetween val="midCat"/>
      </c:valAx>
      <c:valAx>
        <c:axId val="1546403776"/>
        <c:scaling>
          <c:orientation val="minMax"/>
          <c:max val="6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48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Symonds</a:t>
            </a:r>
            <a:r>
              <a:rPr lang="en-US" baseline="0"/>
              <a:t> Only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37209477516904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46824386131685E-2"/>
          <c:y val="6.4017352860478244E-2"/>
          <c:w val="0.93306130013930488"/>
          <c:h val="0.845376280627643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'graphs old'!$C$3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old'!$C$4:$C$16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D8-4B86-9BB6-F6C5872633D0}"/>
            </c:ext>
          </c:extLst>
        </c:ser>
        <c:ser>
          <c:idx val="1"/>
          <c:order val="1"/>
          <c:tx>
            <c:strRef>
              <c:f>'graphs old'!$D$3</c:f>
              <c:strCache>
                <c:ptCount val="1"/>
                <c:pt idx="0">
                  <c:v>S(mono)Sy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old'!$D$4:$D$16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D8-4B86-9BB6-F6C5872633D0}"/>
            </c:ext>
          </c:extLst>
        </c:ser>
        <c:ser>
          <c:idx val="2"/>
          <c:order val="2"/>
          <c:tx>
            <c:strRef>
              <c:f>'graphs old'!$E$3</c:f>
              <c:strCache>
                <c:ptCount val="1"/>
                <c:pt idx="0">
                  <c:v>S(ortho)Sy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'graphs old'!$B$4:$B$16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'graphs old'!$E$4:$E$16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D8-4B86-9BB6-F6C587263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967792"/>
        <c:axId val="1921265440"/>
      </c:scatterChart>
      <c:valAx>
        <c:axId val="1929967792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65440"/>
        <c:crosses val="autoZero"/>
        <c:crossBetween val="midCat"/>
      </c:valAx>
      <c:valAx>
        <c:axId val="1921265440"/>
        <c:scaling>
          <c:orientation val="minMax"/>
          <c:max val="6"/>
          <c:min val="4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96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'ortho-JNF-CpOnly'!$B$20:$B$23</c:f>
              <c:numCache>
                <c:formatCode>General</c:formatCode>
                <c:ptCount val="4"/>
                <c:pt idx="0">
                  <c:v>298.14999999999998</c:v>
                </c:pt>
                <c:pt idx="1">
                  <c:v>300</c:v>
                </c:pt>
                <c:pt idx="2">
                  <c:v>350</c:v>
                </c:pt>
                <c:pt idx="3">
                  <c:v>368.3</c:v>
                </c:pt>
              </c:numCache>
            </c:numRef>
          </c:xVal>
          <c:yVal>
            <c:numRef>
              <c:f>'ortho-JNF-CpOnly'!$D$20:$D$23</c:f>
              <c:numCache>
                <c:formatCode>0.0000</c:formatCode>
                <c:ptCount val="4"/>
                <c:pt idx="0">
                  <c:v>5.4249521988527727</c:v>
                </c:pt>
                <c:pt idx="1">
                  <c:v>5.4359464627151048</c:v>
                </c:pt>
                <c:pt idx="2">
                  <c:v>5.7050669216061189</c:v>
                </c:pt>
                <c:pt idx="3">
                  <c:v>5.7949330783938811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98-4E9D-B3A9-97A687DFA2D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'ortho-JNF-CpOnly'!$B$20:$B$23</c:f>
              <c:numCache>
                <c:formatCode>General</c:formatCode>
                <c:ptCount val="4"/>
                <c:pt idx="0">
                  <c:v>298.14999999999998</c:v>
                </c:pt>
                <c:pt idx="1">
                  <c:v>300</c:v>
                </c:pt>
                <c:pt idx="2">
                  <c:v>350</c:v>
                </c:pt>
                <c:pt idx="3">
                  <c:v>368.3</c:v>
                </c:pt>
              </c:numCache>
            </c:numRef>
          </c:xVal>
          <c:yVal>
            <c:numRef>
              <c:f>'ortho-JNF-CpOnly'!$E$20:$E$23</c:f>
              <c:numCache>
                <c:formatCode>General</c:formatCode>
                <c:ptCount val="4"/>
                <c:pt idx="0">
                  <c:v>5.4810677009717104</c:v>
                </c:pt>
                <c:pt idx="1">
                  <c:v>5.4871050515153463</c:v>
                </c:pt>
                <c:pt idx="2">
                  <c:v>5.6810397509866011</c:v>
                </c:pt>
                <c:pt idx="3">
                  <c:v>5.7596345102313595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98-4E9D-B3A9-97A687DFA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5262047"/>
        <c:axId val="39914959"/>
      </c:scatterChart>
      <c:valAx>
        <c:axId val="1525262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14959"/>
        <c:crosses val="autoZero"/>
        <c:crossBetween val="midCat"/>
      </c:valAx>
      <c:valAx>
        <c:axId val="3991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262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'ortho-Barin-CpOnly'!$B$20:$B$23</c:f>
              <c:numCache>
                <c:formatCode>General</c:formatCode>
                <c:ptCount val="4"/>
                <c:pt idx="0">
                  <c:v>298.14999999999998</c:v>
                </c:pt>
                <c:pt idx="1">
                  <c:v>300</c:v>
                </c:pt>
                <c:pt idx="2">
                  <c:v>350</c:v>
                </c:pt>
                <c:pt idx="3">
                  <c:v>368.3</c:v>
                </c:pt>
              </c:numCache>
            </c:numRef>
          </c:xVal>
          <c:yVal>
            <c:numRef>
              <c:f>'ortho-Barin-CpOnly'!$D$20:$D$23</c:f>
              <c:numCache>
                <c:formatCode>0.0000</c:formatCode>
                <c:ptCount val="4"/>
                <c:pt idx="0">
                  <c:v>5.4249521988527727</c:v>
                </c:pt>
                <c:pt idx="1">
                  <c:v>5.4359464627151048</c:v>
                </c:pt>
                <c:pt idx="2">
                  <c:v>5.7050669216061189</c:v>
                </c:pt>
                <c:pt idx="3">
                  <c:v>5.7949330783938811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A2-4E17-9A73-4DDEE7C53DE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'ortho-Barin-CpOnly'!$B$20:$B$23</c:f>
              <c:numCache>
                <c:formatCode>General</c:formatCode>
                <c:ptCount val="4"/>
                <c:pt idx="0">
                  <c:v>298.14999999999998</c:v>
                </c:pt>
                <c:pt idx="1">
                  <c:v>300</c:v>
                </c:pt>
                <c:pt idx="2">
                  <c:v>350</c:v>
                </c:pt>
                <c:pt idx="3">
                  <c:v>368.3</c:v>
                </c:pt>
              </c:numCache>
            </c:numRef>
          </c:xVal>
          <c:yVal>
            <c:numRef>
              <c:f>'ortho-Barin-CpOnly'!$E$20:$E$23</c:f>
              <c:numCache>
                <c:formatCode>General</c:formatCode>
                <c:ptCount val="4"/>
                <c:pt idx="0">
                  <c:v>5.4810677009717104</c:v>
                </c:pt>
                <c:pt idx="1">
                  <c:v>5.4871050515153463</c:v>
                </c:pt>
                <c:pt idx="2">
                  <c:v>5.6810397509866011</c:v>
                </c:pt>
                <c:pt idx="3">
                  <c:v>5.7596345102313595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A2-4E17-9A73-4DDEE7C5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5262047"/>
        <c:axId val="39914959"/>
      </c:scatterChart>
      <c:valAx>
        <c:axId val="1525262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14959"/>
        <c:crosses val="autoZero"/>
        <c:crossBetween val="midCat"/>
      </c:valAx>
      <c:valAx>
        <c:axId val="3991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262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'mono-JNF'!$D$12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'mono-JNF'!$C$13:$C$23</c:f>
              <c:numCache>
                <c:formatCode>General</c:formatCode>
                <c:ptCount val="11"/>
                <c:pt idx="0">
                  <c:v>298.14999999999998</c:v>
                </c:pt>
                <c:pt idx="1">
                  <c:v>300</c:v>
                </c:pt>
                <c:pt idx="2">
                  <c:v>350</c:v>
                </c:pt>
                <c:pt idx="3">
                  <c:v>368.3</c:v>
                </c:pt>
                <c:pt idx="4">
                  <c:v>388.36</c:v>
                </c:pt>
                <c:pt idx="5">
                  <c:v>400</c:v>
                </c:pt>
                <c:pt idx="6">
                  <c:v>450</c:v>
                </c:pt>
                <c:pt idx="7">
                  <c:v>500</c:v>
                </c:pt>
                <c:pt idx="8">
                  <c:v>600</c:v>
                </c:pt>
                <c:pt idx="9">
                  <c:v>700</c:v>
                </c:pt>
                <c:pt idx="10">
                  <c:v>800</c:v>
                </c:pt>
              </c:numCache>
            </c:numRef>
          </c:xVal>
          <c:yVal>
            <c:numRef>
              <c:f>'mono-JNF'!$D$13:$D$23</c:f>
              <c:numCache>
                <c:formatCode>0.0000</c:formatCode>
                <c:ptCount val="11"/>
                <c:pt idx="0">
                  <c:v>23.225000000000001</c:v>
                </c:pt>
                <c:pt idx="1">
                  <c:v>23.276</c:v>
                </c:pt>
                <c:pt idx="2">
                  <c:v>24.414000000000001</c:v>
                </c:pt>
                <c:pt idx="3">
                  <c:v>24.773</c:v>
                </c:pt>
                <c:pt idx="4">
                  <c:v>25.167000000000002</c:v>
                </c:pt>
                <c:pt idx="5">
                  <c:v>25.396999999999998</c:v>
                </c:pt>
                <c:pt idx="6">
                  <c:v>26.38</c:v>
                </c:pt>
                <c:pt idx="7">
                  <c:v>27.363</c:v>
                </c:pt>
                <c:pt idx="8">
                  <c:v>29.33</c:v>
                </c:pt>
                <c:pt idx="9">
                  <c:v>31.295999999999999</c:v>
                </c:pt>
                <c:pt idx="10">
                  <c:v>33.262999999999998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8D-4DC7-A2D6-1007872F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78336"/>
        <c:axId val="1426521888"/>
      </c:scatterChart>
      <c:valAx>
        <c:axId val="141287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521888"/>
        <c:crosses val="autoZero"/>
        <c:crossBetween val="midCat"/>
      </c:valAx>
      <c:valAx>
        <c:axId val="142652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78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14286</xdr:rowOff>
    </xdr:from>
    <xdr:to>
      <xdr:col>7</xdr:col>
      <xdr:colOff>238125</xdr:colOff>
      <xdr:row>45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56F977-95C4-CDD1-9C73-5968C10B4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428625</xdr:colOff>
      <xdr:row>16</xdr:row>
      <xdr:rowOff>66674</xdr:rowOff>
    </xdr:from>
    <xdr:to>
      <xdr:col>16</xdr:col>
      <xdr:colOff>152400</xdr:colOff>
      <xdr:row>47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4F8CAB-4FE8-BD9E-5842-F5483C803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16</xdr:row>
      <xdr:rowOff>123825</xdr:rowOff>
    </xdr:from>
    <xdr:to>
      <xdr:col>11</xdr:col>
      <xdr:colOff>180975</xdr:colOff>
      <xdr:row>46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5F82B5-4F1C-4F39-8715-143EAAA0C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46</xdr:row>
      <xdr:rowOff>95250</xdr:rowOff>
    </xdr:from>
    <xdr:to>
      <xdr:col>11</xdr:col>
      <xdr:colOff>180975</xdr:colOff>
      <xdr:row>71</xdr:row>
      <xdr:rowOff>19049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10077B-A024-4EFA-A16F-00663892B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176210</xdr:colOff>
      <xdr:row>45</xdr:row>
      <xdr:rowOff>90486</xdr:rowOff>
    </xdr:from>
    <xdr:to>
      <xdr:col>21</xdr:col>
      <xdr:colOff>104774</xdr:colOff>
      <xdr:row>75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E10973-E4EA-4EFC-ADD4-D5EDB0B61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314325</xdr:colOff>
      <xdr:row>16</xdr:row>
      <xdr:rowOff>123825</xdr:rowOff>
    </xdr:from>
    <xdr:to>
      <xdr:col>21</xdr:col>
      <xdr:colOff>266700</xdr:colOff>
      <xdr:row>46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2FB335-CF7D-4E47-96E1-025CD59B2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25</xdr:row>
      <xdr:rowOff>42862</xdr:rowOff>
    </xdr:from>
    <xdr:to>
      <xdr:col>6</xdr:col>
      <xdr:colOff>390525</xdr:colOff>
      <xdr:row>42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CBAD8C-7BBF-F9A9-167B-7131E0C54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25</xdr:row>
      <xdr:rowOff>42862</xdr:rowOff>
    </xdr:from>
    <xdr:to>
      <xdr:col>6</xdr:col>
      <xdr:colOff>390525</xdr:colOff>
      <xdr:row>42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1873D-6158-4786-8EF4-50F57A4BD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24</xdr:row>
      <xdr:rowOff>33337</xdr:rowOff>
    </xdr:from>
    <xdr:to>
      <xdr:col>16</xdr:col>
      <xdr:colOff>676275</xdr:colOff>
      <xdr:row>41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38A035-B3E6-30CC-A4FF-9778E7BF9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22</xdr:row>
      <xdr:rowOff>147637</xdr:rowOff>
    </xdr:from>
    <xdr:to>
      <xdr:col>14</xdr:col>
      <xdr:colOff>485775</xdr:colOff>
      <xdr:row>39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1B0AEF-7D72-8A5D-A715-8F1DCABF6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66604-C669-4649-BD93-0FC1FC088183}">
  <dimension ref="A2:P18"/>
  <sheetViews>
    <sheetView tabSelected="1" topLeftCell="A7" workbookViewId="0">
      <selection activeCell="J3" sqref="J3:P16"/>
    </sheetView>
  </sheetViews>
  <sheetFormatPr defaultRowHeight="12.75"/>
  <cols>
    <col min="2" max="2" width="8.85546875" bestFit="1" customWidth="1"/>
    <col min="3" max="3" width="10.28515625" bestFit="1" customWidth="1"/>
    <col min="4" max="4" width="9.85546875" bestFit="1" customWidth="1"/>
    <col min="5" max="5" width="9.85546875" customWidth="1"/>
    <col min="12" max="12" width="10.28515625" bestFit="1" customWidth="1"/>
    <col min="13" max="13" width="7.5703125" bestFit="1" customWidth="1"/>
    <col min="18" max="18" width="9.85546875" bestFit="1" customWidth="1"/>
  </cols>
  <sheetData>
    <row r="2" spans="1:16">
      <c r="B2" s="2" t="s">
        <v>53</v>
      </c>
      <c r="C2" s="2" t="s">
        <v>53</v>
      </c>
      <c r="D2" s="2" t="s">
        <v>53</v>
      </c>
      <c r="K2" s="2" t="s">
        <v>54</v>
      </c>
      <c r="L2" s="2" t="s">
        <v>185</v>
      </c>
      <c r="M2" s="2" t="s">
        <v>185</v>
      </c>
      <c r="N2" s="2" t="s">
        <v>185</v>
      </c>
      <c r="O2" s="2" t="s">
        <v>185</v>
      </c>
    </row>
    <row r="3" spans="1:16">
      <c r="A3" t="s">
        <v>46</v>
      </c>
      <c r="B3" s="19" t="s">
        <v>58</v>
      </c>
      <c r="C3" s="19" t="s">
        <v>56</v>
      </c>
      <c r="D3" s="19" t="s">
        <v>55</v>
      </c>
      <c r="J3" t="s">
        <v>46</v>
      </c>
      <c r="K3" t="s">
        <v>186</v>
      </c>
      <c r="L3" t="s">
        <v>187</v>
      </c>
      <c r="M3" t="s">
        <v>188</v>
      </c>
      <c r="N3" t="s">
        <v>189</v>
      </c>
      <c r="O3" t="s">
        <v>190</v>
      </c>
      <c r="P3" t="s">
        <v>191</v>
      </c>
    </row>
    <row r="4" spans="1:16">
      <c r="A4">
        <v>25</v>
      </c>
      <c r="B4" s="19">
        <v>5.8609999999999998</v>
      </c>
      <c r="C4" s="19">
        <v>5.8730000000000002</v>
      </c>
      <c r="D4" s="19">
        <v>5.9329999999999998</v>
      </c>
      <c r="J4">
        <v>25</v>
      </c>
      <c r="K4">
        <v>5.8040000000000003</v>
      </c>
      <c r="L4">
        <v>5.8789999999999996</v>
      </c>
      <c r="M4">
        <v>5.8789999999999996</v>
      </c>
      <c r="N4">
        <v>5.8040000000000003</v>
      </c>
      <c r="O4">
        <v>5.8789999999999996</v>
      </c>
      <c r="P4">
        <v>5.8789999999999996</v>
      </c>
    </row>
    <row r="5" spans="1:16">
      <c r="A5">
        <v>100</v>
      </c>
      <c r="B5" s="19">
        <v>5.1130000000000004</v>
      </c>
      <c r="C5" s="19">
        <v>5.1120000000000001</v>
      </c>
      <c r="D5" s="19">
        <v>5.1219999999999999</v>
      </c>
      <c r="J5">
        <v>100</v>
      </c>
      <c r="K5">
        <v>5.0529999999999999</v>
      </c>
      <c r="L5">
        <v>4.9710000000000001</v>
      </c>
      <c r="M5">
        <v>4.9710000000000001</v>
      </c>
      <c r="N5">
        <v>4.9109999999999996</v>
      </c>
      <c r="O5">
        <v>5.0209999999999999</v>
      </c>
      <c r="P5">
        <v>4.8970000000000002</v>
      </c>
    </row>
    <row r="6" spans="1:16">
      <c r="A6">
        <v>200</v>
      </c>
      <c r="B6" s="19">
        <v>4.4420000000000002</v>
      </c>
      <c r="C6" s="19">
        <v>4.4279999999999999</v>
      </c>
      <c r="D6" s="19">
        <v>4.375</v>
      </c>
      <c r="J6">
        <v>200</v>
      </c>
      <c r="K6">
        <v>4.3479999999999999</v>
      </c>
      <c r="L6">
        <v>4.1429999999999998</v>
      </c>
      <c r="M6">
        <v>4.1429999999999998</v>
      </c>
      <c r="N6">
        <v>4.0949999999999998</v>
      </c>
      <c r="O6">
        <v>4.2350000000000003</v>
      </c>
      <c r="P6">
        <v>4.0069999999999997</v>
      </c>
    </row>
    <row r="7" spans="1:16">
      <c r="A7">
        <v>300</v>
      </c>
      <c r="B7" s="19">
        <v>3.9729999999999999</v>
      </c>
      <c r="C7" s="19">
        <v>3.95</v>
      </c>
      <c r="D7" s="19">
        <v>3.827</v>
      </c>
      <c r="J7">
        <v>300</v>
      </c>
      <c r="K7">
        <v>3.8359999999999999</v>
      </c>
      <c r="L7">
        <v>3.4289999999999998</v>
      </c>
      <c r="M7">
        <v>3.4289999999999998</v>
      </c>
      <c r="N7">
        <v>3.39</v>
      </c>
      <c r="O7">
        <v>3.5489999999999999</v>
      </c>
      <c r="P7">
        <v>3.2530000000000001</v>
      </c>
    </row>
    <row r="8" spans="1:16">
      <c r="A8">
        <v>400</v>
      </c>
      <c r="B8" s="19">
        <v>3.6240000000000001</v>
      </c>
      <c r="C8" s="19">
        <v>3.5939999999999999</v>
      </c>
      <c r="D8" s="19">
        <v>3.4089999999999998</v>
      </c>
      <c r="J8">
        <v>400</v>
      </c>
      <c r="K8">
        <v>3.4390000000000001</v>
      </c>
      <c r="L8">
        <v>2.5009999999999999</v>
      </c>
      <c r="M8">
        <v>2.5009999999999999</v>
      </c>
      <c r="N8">
        <v>2.4670000000000001</v>
      </c>
      <c r="O8">
        <v>2.64</v>
      </c>
      <c r="P8">
        <v>2.2959999999999998</v>
      </c>
    </row>
    <row r="9" spans="1:16">
      <c r="A9">
        <v>500</v>
      </c>
      <c r="B9" s="19">
        <v>3.3519999999999999</v>
      </c>
      <c r="C9" s="19">
        <v>3.3149999999999999</v>
      </c>
      <c r="D9" s="19">
        <v>3.077</v>
      </c>
      <c r="J9">
        <v>500</v>
      </c>
      <c r="K9">
        <v>3.1190000000000002</v>
      </c>
      <c r="L9">
        <v>1.194</v>
      </c>
      <c r="M9">
        <v>1.194</v>
      </c>
      <c r="N9">
        <v>1.165</v>
      </c>
      <c r="O9">
        <v>1.347</v>
      </c>
      <c r="P9">
        <v>0.96799999999999997</v>
      </c>
    </row>
    <row r="10" spans="1:16">
      <c r="A10">
        <v>600</v>
      </c>
      <c r="B10" s="19">
        <v>3.1320000000000001</v>
      </c>
      <c r="C10" s="19">
        <v>3.09</v>
      </c>
      <c r="D10" s="19">
        <v>2.806</v>
      </c>
      <c r="J10">
        <v>600</v>
      </c>
      <c r="K10">
        <v>2.8530000000000002</v>
      </c>
      <c r="L10">
        <v>-0.55400000000000005</v>
      </c>
      <c r="M10">
        <v>-0.55400000000000005</v>
      </c>
      <c r="N10">
        <v>-0.57999999999999996</v>
      </c>
      <c r="O10">
        <v>-0.39</v>
      </c>
      <c r="P10">
        <v>-0.79600000000000004</v>
      </c>
    </row>
    <row r="11" spans="1:16">
      <c r="A11">
        <v>700</v>
      </c>
      <c r="B11" s="19">
        <v>2.9510000000000001</v>
      </c>
      <c r="C11" s="19">
        <v>2.9039999999999999</v>
      </c>
      <c r="D11" s="19">
        <v>2.5779999999999998</v>
      </c>
      <c r="J11">
        <v>700</v>
      </c>
      <c r="K11">
        <v>2.6269999999999998</v>
      </c>
      <c r="L11">
        <v>-2.7519999999999998</v>
      </c>
      <c r="M11">
        <v>-2.7519999999999998</v>
      </c>
      <c r="N11">
        <v>-2.7749999999999999</v>
      </c>
      <c r="O11">
        <v>-2.5790000000000002</v>
      </c>
      <c r="P11">
        <v>-3.0070000000000001</v>
      </c>
    </row>
    <row r="12" spans="1:16">
      <c r="A12">
        <v>800</v>
      </c>
      <c r="B12" s="19">
        <v>2.798</v>
      </c>
      <c r="C12" s="19">
        <v>2.7469999999999999</v>
      </c>
      <c r="D12" s="19">
        <v>2.383</v>
      </c>
      <c r="J12">
        <v>800</v>
      </c>
      <c r="K12">
        <v>2.4319999999999999</v>
      </c>
      <c r="L12">
        <v>-5.3860000000000001</v>
      </c>
      <c r="M12">
        <v>-5.3860000000000001</v>
      </c>
      <c r="N12">
        <v>-5.407</v>
      </c>
      <c r="O12">
        <v>-5.2060000000000004</v>
      </c>
      <c r="P12">
        <v>-5.6520000000000001</v>
      </c>
    </row>
    <row r="13" spans="1:16">
      <c r="A13">
        <v>900</v>
      </c>
      <c r="B13" s="19">
        <v>2.6680000000000001</v>
      </c>
      <c r="C13" s="19">
        <v>2.613</v>
      </c>
      <c r="D13" s="19">
        <v>2.2149999999999999</v>
      </c>
      <c r="J13">
        <v>900</v>
      </c>
      <c r="K13">
        <v>2.2610000000000001</v>
      </c>
      <c r="L13">
        <v>-8.4320000000000004</v>
      </c>
      <c r="M13">
        <v>-8.4320000000000004</v>
      </c>
      <c r="N13">
        <v>-8.4510000000000005</v>
      </c>
      <c r="O13">
        <v>-8.2460000000000004</v>
      </c>
      <c r="P13">
        <v>-8.7059999999999995</v>
      </c>
    </row>
    <row r="14" spans="1:16">
      <c r="A14">
        <v>1000</v>
      </c>
      <c r="B14" s="19">
        <v>2.5550000000000002</v>
      </c>
      <c r="C14" s="19">
        <v>2.4969999999999999</v>
      </c>
      <c r="D14" s="19">
        <v>2.0670000000000002</v>
      </c>
      <c r="J14">
        <v>1000</v>
      </c>
      <c r="K14">
        <v>2.11</v>
      </c>
      <c r="L14">
        <v>-11.859</v>
      </c>
      <c r="M14">
        <v>-11.859</v>
      </c>
      <c r="N14">
        <v>-11.877000000000001</v>
      </c>
      <c r="O14">
        <v>-11.667999999999999</v>
      </c>
      <c r="P14">
        <v>-12.141</v>
      </c>
    </row>
    <row r="15" spans="1:16">
      <c r="A15">
        <v>1100</v>
      </c>
      <c r="B15" s="19">
        <v>2.456</v>
      </c>
      <c r="C15" s="19">
        <v>2.395</v>
      </c>
      <c r="D15" s="19">
        <v>1.9359999999999999</v>
      </c>
      <c r="J15">
        <v>1100</v>
      </c>
      <c r="K15">
        <v>1.9750000000000001</v>
      </c>
      <c r="L15">
        <v>-15.638999999999999</v>
      </c>
      <c r="M15">
        <v>-15.638999999999999</v>
      </c>
      <c r="N15">
        <v>-15.656000000000001</v>
      </c>
      <c r="O15">
        <v>-15.444000000000001</v>
      </c>
      <c r="P15">
        <v>-15.927</v>
      </c>
    </row>
    <row r="16" spans="1:16">
      <c r="A16">
        <v>1200</v>
      </c>
      <c r="B16" s="19">
        <v>2.3690000000000002</v>
      </c>
      <c r="C16" s="19">
        <v>2.3050000000000002</v>
      </c>
      <c r="D16" s="19">
        <v>1.819</v>
      </c>
      <c r="J16">
        <v>1200</v>
      </c>
      <c r="K16">
        <v>1.8540000000000001</v>
      </c>
      <c r="L16">
        <v>-19.745000000000001</v>
      </c>
      <c r="M16">
        <v>-19.745000000000001</v>
      </c>
      <c r="N16">
        <v>-19.760000000000002</v>
      </c>
      <c r="O16">
        <v>-19.545999999999999</v>
      </c>
      <c r="P16">
        <v>-20.038</v>
      </c>
    </row>
    <row r="17" spans="4:5">
      <c r="D17" s="19"/>
      <c r="E17" s="19"/>
    </row>
    <row r="18" spans="4:5">
      <c r="D18" s="19"/>
      <c r="E18" s="1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40DE-375E-4B54-8569-32C363A92653}">
  <dimension ref="B1:AA67"/>
  <sheetViews>
    <sheetView workbookViewId="0">
      <selection activeCell="T15" sqref="T15:T17"/>
    </sheetView>
  </sheetViews>
  <sheetFormatPr defaultRowHeight="12.75"/>
  <cols>
    <col min="1" max="1" width="3.7109375" customWidth="1"/>
    <col min="2" max="2" width="8.7109375" bestFit="1" customWidth="1"/>
    <col min="3" max="3" width="7" bestFit="1" customWidth="1"/>
    <col min="4" max="4" width="8" bestFit="1" customWidth="1"/>
    <col min="5" max="5" width="10.28515625" bestFit="1" customWidth="1"/>
    <col min="6" max="6" width="8" bestFit="1" customWidth="1"/>
    <col min="7" max="7" width="9" customWidth="1"/>
    <col min="8" max="8" width="8" bestFit="1" customWidth="1"/>
    <col min="9" max="9" width="5.7109375" bestFit="1" customWidth="1"/>
    <col min="10" max="10" width="3.7109375" customWidth="1"/>
    <col min="19" max="19" width="3.7109375" customWidth="1"/>
  </cols>
  <sheetData>
    <row r="1" spans="2:27" ht="18.75">
      <c r="B1" s="8" t="s">
        <v>177</v>
      </c>
    </row>
    <row r="2" spans="2:27" ht="15.75">
      <c r="B2" s="8" t="s">
        <v>176</v>
      </c>
    </row>
    <row r="4" spans="2:27">
      <c r="B4" t="s">
        <v>114</v>
      </c>
      <c r="K4" t="s">
        <v>118</v>
      </c>
      <c r="T4" t="s">
        <v>126</v>
      </c>
    </row>
    <row r="5" spans="2:27">
      <c r="B5" s="2" t="s">
        <v>160</v>
      </c>
      <c r="K5" s="2" t="s">
        <v>159</v>
      </c>
      <c r="T5" s="2" t="s">
        <v>161</v>
      </c>
    </row>
    <row r="6" spans="2:27">
      <c r="B6" t="s">
        <v>95</v>
      </c>
      <c r="C6" t="s">
        <v>96</v>
      </c>
      <c r="K6" t="s">
        <v>134</v>
      </c>
      <c r="L6" t="s">
        <v>132</v>
      </c>
      <c r="T6" t="s">
        <v>95</v>
      </c>
      <c r="U6" t="s">
        <v>135</v>
      </c>
    </row>
    <row r="7" spans="2:27">
      <c r="B7" t="s">
        <v>97</v>
      </c>
      <c r="C7" t="s">
        <v>61</v>
      </c>
      <c r="D7" t="s">
        <v>2</v>
      </c>
      <c r="E7" t="s">
        <v>98</v>
      </c>
      <c r="F7" t="s">
        <v>99</v>
      </c>
      <c r="G7" t="s">
        <v>100</v>
      </c>
      <c r="H7" t="s">
        <v>101</v>
      </c>
      <c r="I7" t="s">
        <v>102</v>
      </c>
      <c r="K7" t="s">
        <v>97</v>
      </c>
      <c r="L7" t="s">
        <v>61</v>
      </c>
      <c r="M7" t="s">
        <v>2</v>
      </c>
      <c r="N7" t="s">
        <v>98</v>
      </c>
      <c r="O7" t="s">
        <v>99</v>
      </c>
      <c r="P7" t="s">
        <v>100</v>
      </c>
      <c r="Q7" t="s">
        <v>101</v>
      </c>
      <c r="R7" t="s">
        <v>102</v>
      </c>
      <c r="T7" t="s">
        <v>97</v>
      </c>
      <c r="U7" t="s">
        <v>61</v>
      </c>
      <c r="V7" t="s">
        <v>2</v>
      </c>
      <c r="W7" t="s">
        <v>98</v>
      </c>
      <c r="X7" t="s">
        <v>99</v>
      </c>
      <c r="Y7" t="s">
        <v>100</v>
      </c>
      <c r="Z7" t="s">
        <v>101</v>
      </c>
      <c r="AA7" t="s">
        <v>102</v>
      </c>
    </row>
    <row r="8" spans="2:27">
      <c r="B8">
        <v>0</v>
      </c>
      <c r="C8">
        <v>0</v>
      </c>
      <c r="D8">
        <v>0</v>
      </c>
      <c r="E8" t="s">
        <v>103</v>
      </c>
      <c r="F8">
        <v>-4.4119999999999999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 t="s">
        <v>103</v>
      </c>
      <c r="O8">
        <v>-4.4119999999999999</v>
      </c>
      <c r="P8">
        <v>0</v>
      </c>
      <c r="Q8">
        <v>0</v>
      </c>
      <c r="R8">
        <v>0</v>
      </c>
      <c r="T8">
        <v>0</v>
      </c>
    </row>
    <row r="9" spans="2:27">
      <c r="B9">
        <v>100</v>
      </c>
      <c r="C9">
        <v>12.77</v>
      </c>
      <c r="D9">
        <v>12.522</v>
      </c>
      <c r="E9">
        <v>49.744</v>
      </c>
      <c r="F9">
        <v>-3.722</v>
      </c>
      <c r="G9">
        <v>0</v>
      </c>
      <c r="H9">
        <v>0</v>
      </c>
      <c r="I9">
        <v>0</v>
      </c>
      <c r="K9">
        <v>100</v>
      </c>
      <c r="L9">
        <v>12.77</v>
      </c>
      <c r="M9">
        <v>12.522</v>
      </c>
      <c r="N9">
        <v>49.744</v>
      </c>
      <c r="O9">
        <v>-3.722</v>
      </c>
      <c r="P9">
        <v>0</v>
      </c>
      <c r="Q9">
        <v>0</v>
      </c>
      <c r="R9">
        <v>0</v>
      </c>
      <c r="T9">
        <v>100</v>
      </c>
    </row>
    <row r="10" spans="2:27">
      <c r="B10">
        <v>200</v>
      </c>
      <c r="C10">
        <v>19.367999999999999</v>
      </c>
      <c r="D10">
        <v>23.637</v>
      </c>
      <c r="E10">
        <v>34.037999999999997</v>
      </c>
      <c r="F10">
        <v>-2.08</v>
      </c>
      <c r="G10">
        <v>0</v>
      </c>
      <c r="H10">
        <v>0</v>
      </c>
      <c r="I10">
        <v>0</v>
      </c>
      <c r="K10">
        <v>200</v>
      </c>
      <c r="L10">
        <v>19.367999999999999</v>
      </c>
      <c r="M10">
        <v>23.637</v>
      </c>
      <c r="N10">
        <v>34.037999999999997</v>
      </c>
      <c r="O10">
        <v>-2.08</v>
      </c>
      <c r="P10">
        <v>0</v>
      </c>
      <c r="Q10">
        <v>0</v>
      </c>
      <c r="R10">
        <v>0</v>
      </c>
      <c r="T10">
        <v>200</v>
      </c>
    </row>
    <row r="11" spans="2:27">
      <c r="B11" s="42">
        <v>298.14999999999998</v>
      </c>
      <c r="C11" s="42">
        <v>22.698</v>
      </c>
      <c r="D11" s="42">
        <v>32.055999999999997</v>
      </c>
      <c r="E11" s="42">
        <v>32.055999999999997</v>
      </c>
      <c r="F11" s="42">
        <v>0</v>
      </c>
      <c r="G11" s="42">
        <v>0</v>
      </c>
      <c r="H11" s="42">
        <v>0</v>
      </c>
      <c r="I11" s="42">
        <v>0</v>
      </c>
      <c r="K11">
        <v>250</v>
      </c>
      <c r="L11">
        <v>21.297000000000001</v>
      </c>
      <c r="M11">
        <v>28.178999999999998</v>
      </c>
      <c r="N11">
        <v>32.421999999999997</v>
      </c>
      <c r="O11">
        <v>-1.0609999999999999</v>
      </c>
      <c r="P11">
        <v>0</v>
      </c>
      <c r="Q11">
        <v>0</v>
      </c>
      <c r="R11">
        <v>0</v>
      </c>
      <c r="T11">
        <v>250</v>
      </c>
    </row>
    <row r="12" spans="2:27">
      <c r="B12">
        <v>300</v>
      </c>
      <c r="C12">
        <v>22.744</v>
      </c>
      <c r="D12">
        <v>32.195999999999998</v>
      </c>
      <c r="E12">
        <v>32.055999999999997</v>
      </c>
      <c r="F12">
        <v>4.2000000000000003E-2</v>
      </c>
      <c r="G12">
        <v>0</v>
      </c>
      <c r="H12">
        <v>0</v>
      </c>
      <c r="I12">
        <v>0</v>
      </c>
      <c r="K12" s="26">
        <v>298.14999999999998</v>
      </c>
      <c r="L12" s="26">
        <v>22.698</v>
      </c>
      <c r="M12" s="26">
        <v>32.055999999999997</v>
      </c>
      <c r="N12" s="26">
        <v>32.055999999999997</v>
      </c>
      <c r="O12" s="26">
        <v>0</v>
      </c>
      <c r="P12" s="26">
        <v>0</v>
      </c>
      <c r="Q12" s="26">
        <v>0</v>
      </c>
      <c r="R12" s="26">
        <v>0</v>
      </c>
      <c r="T12" s="42">
        <v>298.14999999999998</v>
      </c>
      <c r="U12" s="42">
        <v>22.530999999999999</v>
      </c>
      <c r="V12" s="42">
        <v>36.825000000000003</v>
      </c>
      <c r="W12" s="42">
        <v>36.825000000000003</v>
      </c>
      <c r="X12" s="42">
        <v>0</v>
      </c>
      <c r="Y12" s="42">
        <v>1.8540000000000001</v>
      </c>
      <c r="Z12" s="42">
        <v>0.432</v>
      </c>
      <c r="AA12" s="42">
        <v>-7.5999999999999998E-2</v>
      </c>
    </row>
    <row r="13" spans="2:27">
      <c r="B13">
        <v>368.3</v>
      </c>
      <c r="C13">
        <v>24.245999999999999</v>
      </c>
      <c r="D13">
        <v>37.015000000000001</v>
      </c>
      <c r="E13">
        <v>32.54</v>
      </c>
      <c r="F13">
        <v>1.6479999999999999</v>
      </c>
      <c r="G13" t="s">
        <v>104</v>
      </c>
      <c r="K13">
        <v>300</v>
      </c>
      <c r="L13">
        <v>22.744</v>
      </c>
      <c r="M13">
        <v>32.195999999999998</v>
      </c>
      <c r="N13">
        <v>32.055999999999997</v>
      </c>
      <c r="O13">
        <v>4.2000000000000003E-2</v>
      </c>
      <c r="P13">
        <v>0</v>
      </c>
      <c r="Q13">
        <v>0</v>
      </c>
      <c r="R13">
        <v>0</v>
      </c>
      <c r="T13">
        <v>300</v>
      </c>
      <c r="U13">
        <v>22.707000000000001</v>
      </c>
      <c r="V13">
        <v>36.965000000000003</v>
      </c>
      <c r="W13">
        <v>36.826000000000001</v>
      </c>
      <c r="X13">
        <v>4.2000000000000003E-2</v>
      </c>
      <c r="Y13">
        <v>1.8540000000000001</v>
      </c>
      <c r="Z13">
        <v>0.42299999999999999</v>
      </c>
      <c r="AA13">
        <v>-7.3999999999999996E-2</v>
      </c>
    </row>
    <row r="14" spans="2:27">
      <c r="B14">
        <v>368.3</v>
      </c>
      <c r="C14">
        <v>24.773</v>
      </c>
      <c r="D14">
        <v>38.103000000000002</v>
      </c>
      <c r="E14">
        <v>32.54</v>
      </c>
      <c r="F14">
        <v>2.0489999999999999</v>
      </c>
      <c r="G14" t="s">
        <v>105</v>
      </c>
      <c r="K14">
        <v>350</v>
      </c>
      <c r="L14">
        <v>23.87</v>
      </c>
      <c r="M14">
        <v>35.789000000000001</v>
      </c>
      <c r="N14">
        <v>32.337000000000003</v>
      </c>
      <c r="O14">
        <v>1.208</v>
      </c>
      <c r="P14">
        <v>0</v>
      </c>
      <c r="Q14">
        <v>0</v>
      </c>
      <c r="R14">
        <v>0</v>
      </c>
      <c r="T14">
        <v>350</v>
      </c>
      <c r="U14">
        <v>27.434000000000001</v>
      </c>
      <c r="V14">
        <v>40.820999999999998</v>
      </c>
      <c r="W14">
        <v>37.119999999999997</v>
      </c>
      <c r="X14">
        <v>1.2949999999999999</v>
      </c>
      <c r="Y14">
        <v>1.9410000000000001</v>
      </c>
      <c r="Z14">
        <v>0.18</v>
      </c>
      <c r="AA14">
        <v>-2.7E-2</v>
      </c>
    </row>
    <row r="15" spans="2:27">
      <c r="B15">
        <v>388.36</v>
      </c>
      <c r="C15">
        <v>25.167000000000002</v>
      </c>
      <c r="D15">
        <v>39.427</v>
      </c>
      <c r="E15">
        <v>32.860999999999997</v>
      </c>
      <c r="F15">
        <v>2.5499999999999998</v>
      </c>
      <c r="G15" t="s">
        <v>106</v>
      </c>
      <c r="K15" s="26">
        <v>368.3</v>
      </c>
      <c r="L15" s="26">
        <v>24.245999999999999</v>
      </c>
      <c r="M15" s="26">
        <v>37.015000000000001</v>
      </c>
      <c r="N15" s="26">
        <v>32.54</v>
      </c>
      <c r="O15" s="26">
        <v>1.6479999999999999</v>
      </c>
      <c r="P15" s="26" t="s">
        <v>104</v>
      </c>
      <c r="Q15" s="26"/>
      <c r="R15" s="26"/>
      <c r="T15" s="26">
        <v>388.36</v>
      </c>
      <c r="U15" s="26">
        <v>31.058</v>
      </c>
      <c r="V15" s="26">
        <v>43.859000000000002</v>
      </c>
      <c r="W15" s="26">
        <v>37.634999999999998</v>
      </c>
      <c r="X15" s="26">
        <v>2.4169999999999998</v>
      </c>
      <c r="Y15" s="26" t="s">
        <v>106</v>
      </c>
      <c r="Z15" s="26"/>
      <c r="AA15" s="26"/>
    </row>
    <row r="16" spans="2:27">
      <c r="B16">
        <v>388.36</v>
      </c>
      <c r="C16">
        <v>31.058</v>
      </c>
      <c r="D16">
        <v>43.859000000000002</v>
      </c>
      <c r="E16">
        <v>32.860999999999997</v>
      </c>
      <c r="F16">
        <v>4.2709999999999999</v>
      </c>
      <c r="G16" t="s">
        <v>105</v>
      </c>
      <c r="K16">
        <v>400</v>
      </c>
      <c r="L16">
        <v>24.895</v>
      </c>
      <c r="M16">
        <v>39.043999999999997</v>
      </c>
      <c r="N16">
        <v>32.975000000000001</v>
      </c>
      <c r="O16">
        <v>2.427</v>
      </c>
      <c r="P16">
        <v>2.2120000000000002</v>
      </c>
      <c r="Q16">
        <v>8.7999999999999995E-2</v>
      </c>
      <c r="R16">
        <v>1.0999999999999999E-2</v>
      </c>
      <c r="T16">
        <v>400</v>
      </c>
      <c r="U16">
        <v>32.161999999999999</v>
      </c>
      <c r="V16">
        <v>44.792999999999999</v>
      </c>
      <c r="W16">
        <v>37.829000000000001</v>
      </c>
      <c r="X16">
        <v>2.7850000000000001</v>
      </c>
      <c r="Y16">
        <v>0</v>
      </c>
      <c r="Z16">
        <v>0</v>
      </c>
      <c r="AA16">
        <v>0</v>
      </c>
    </row>
    <row r="17" spans="2:27">
      <c r="B17">
        <v>400</v>
      </c>
      <c r="C17">
        <v>32.161999999999999</v>
      </c>
      <c r="D17">
        <v>44.792999999999999</v>
      </c>
      <c r="E17">
        <v>33.195</v>
      </c>
      <c r="F17">
        <v>4.6390000000000002</v>
      </c>
      <c r="G17">
        <v>0</v>
      </c>
      <c r="H17">
        <v>0</v>
      </c>
      <c r="I17">
        <v>0</v>
      </c>
      <c r="K17">
        <v>450</v>
      </c>
      <c r="L17">
        <v>25.92</v>
      </c>
      <c r="M17">
        <v>42.034999999999997</v>
      </c>
      <c r="N17">
        <v>33.817999999999998</v>
      </c>
      <c r="O17">
        <v>3.698</v>
      </c>
      <c r="P17">
        <v>-2.867</v>
      </c>
      <c r="Q17">
        <v>0.40600000000000003</v>
      </c>
      <c r="R17">
        <v>-4.7E-2</v>
      </c>
      <c r="T17" s="26">
        <v>432.02</v>
      </c>
      <c r="U17" s="26">
        <v>53.829000000000001</v>
      </c>
      <c r="V17" s="26">
        <v>47.430999999999997</v>
      </c>
      <c r="W17" s="26">
        <v>38.442</v>
      </c>
      <c r="X17" s="26">
        <v>3.8839999999999999</v>
      </c>
      <c r="Y17" s="26" t="s">
        <v>107</v>
      </c>
      <c r="Z17" s="26"/>
      <c r="AA17" s="26"/>
    </row>
    <row r="18" spans="2:27">
      <c r="B18">
        <v>432.02</v>
      </c>
      <c r="C18">
        <v>53.808</v>
      </c>
      <c r="D18">
        <v>47.430999999999997</v>
      </c>
      <c r="E18">
        <v>34.151000000000003</v>
      </c>
      <c r="F18">
        <v>5.7370000000000001</v>
      </c>
      <c r="G18" t="s">
        <v>107</v>
      </c>
      <c r="K18">
        <v>500</v>
      </c>
      <c r="L18">
        <v>26.945</v>
      </c>
      <c r="M18">
        <v>44.819000000000003</v>
      </c>
      <c r="N18">
        <v>34.78</v>
      </c>
      <c r="O18">
        <v>5.0190000000000001</v>
      </c>
      <c r="P18">
        <v>-3.548</v>
      </c>
      <c r="Q18">
        <v>0.80900000000000005</v>
      </c>
      <c r="R18">
        <v>-8.4000000000000005E-2</v>
      </c>
      <c r="T18">
        <v>432.02</v>
      </c>
      <c r="U18">
        <v>53.808</v>
      </c>
      <c r="V18">
        <v>47.430999999999997</v>
      </c>
      <c r="W18">
        <v>38.442</v>
      </c>
      <c r="X18">
        <v>3.8839999999999999</v>
      </c>
      <c r="Y18" t="s">
        <v>105</v>
      </c>
    </row>
    <row r="19" spans="2:27">
      <c r="B19">
        <v>432.02</v>
      </c>
      <c r="C19">
        <v>53.805999999999997</v>
      </c>
      <c r="D19">
        <v>47.430999999999997</v>
      </c>
      <c r="E19">
        <v>34.151000000000003</v>
      </c>
      <c r="F19">
        <v>5.7370000000000001</v>
      </c>
      <c r="G19" t="s">
        <v>105</v>
      </c>
      <c r="K19">
        <v>600</v>
      </c>
      <c r="L19">
        <v>28.995000000000001</v>
      </c>
      <c r="M19">
        <v>49.912999999999997</v>
      </c>
      <c r="N19">
        <v>36.886000000000003</v>
      </c>
      <c r="O19">
        <v>7.8159999999999998</v>
      </c>
      <c r="P19">
        <v>-4.3360000000000003</v>
      </c>
      <c r="Q19">
        <v>1.764</v>
      </c>
      <c r="R19">
        <v>-0.154</v>
      </c>
      <c r="V19">
        <v>49.308</v>
      </c>
      <c r="W19">
        <v>38.840000000000003</v>
      </c>
      <c r="X19">
        <v>4.7110000000000003</v>
      </c>
      <c r="Y19">
        <v>0</v>
      </c>
      <c r="Z19">
        <v>0</v>
      </c>
      <c r="AA19">
        <v>0</v>
      </c>
    </row>
    <row r="20" spans="2:27">
      <c r="B20">
        <v>500</v>
      </c>
      <c r="C20">
        <v>37.985999999999997</v>
      </c>
      <c r="D20">
        <v>53.531999999999996</v>
      </c>
      <c r="E20">
        <v>36.398000000000003</v>
      </c>
      <c r="F20">
        <v>8.5670000000000002</v>
      </c>
      <c r="G20">
        <v>0</v>
      </c>
      <c r="H20">
        <v>0</v>
      </c>
      <c r="I20">
        <v>0</v>
      </c>
      <c r="K20">
        <v>700</v>
      </c>
      <c r="L20">
        <v>31.045000000000002</v>
      </c>
      <c r="M20">
        <v>54.536999999999999</v>
      </c>
      <c r="N20">
        <v>39.082000000000001</v>
      </c>
      <c r="O20">
        <v>10.818</v>
      </c>
      <c r="P20">
        <v>-4.68</v>
      </c>
      <c r="Q20">
        <v>2.8119999999999998</v>
      </c>
      <c r="R20">
        <v>-0.21</v>
      </c>
      <c r="V20">
        <v>53.531999999999996</v>
      </c>
      <c r="W20">
        <v>40.106000000000002</v>
      </c>
      <c r="X20">
        <v>6.7130000000000001</v>
      </c>
      <c r="Y20">
        <v>0</v>
      </c>
      <c r="Z20">
        <v>0</v>
      </c>
      <c r="AA20">
        <v>0</v>
      </c>
    </row>
    <row r="21" spans="2:27">
      <c r="B21">
        <v>600</v>
      </c>
      <c r="C21">
        <v>34.308</v>
      </c>
      <c r="D21">
        <v>60.078000000000003</v>
      </c>
      <c r="E21">
        <v>39.825000000000003</v>
      </c>
      <c r="F21">
        <v>12.151999999999999</v>
      </c>
      <c r="G21">
        <v>0</v>
      </c>
      <c r="H21">
        <v>0</v>
      </c>
      <c r="I21">
        <v>0</v>
      </c>
      <c r="K21">
        <v>800</v>
      </c>
      <c r="L21">
        <v>33.094999999999999</v>
      </c>
      <c r="M21">
        <v>58.816000000000003</v>
      </c>
      <c r="N21">
        <v>41.283999999999999</v>
      </c>
      <c r="O21">
        <v>14.025</v>
      </c>
      <c r="P21">
        <v>-4.6849999999999996</v>
      </c>
      <c r="Q21">
        <v>3.887</v>
      </c>
      <c r="R21">
        <v>-0.254</v>
      </c>
      <c r="V21">
        <v>60.078000000000003</v>
      </c>
      <c r="W21">
        <v>42.914999999999999</v>
      </c>
      <c r="X21">
        <v>10.298</v>
      </c>
      <c r="Y21">
        <v>0</v>
      </c>
      <c r="Z21">
        <v>0</v>
      </c>
      <c r="AA21">
        <v>0</v>
      </c>
    </row>
    <row r="22" spans="2:27">
      <c r="B22">
        <v>700</v>
      </c>
      <c r="C22">
        <v>32.680999999999997</v>
      </c>
      <c r="D22">
        <v>65.241</v>
      </c>
      <c r="E22">
        <v>43.098999999999997</v>
      </c>
      <c r="F22">
        <v>15.499000000000001</v>
      </c>
      <c r="G22">
        <v>0</v>
      </c>
      <c r="H22">
        <v>0</v>
      </c>
      <c r="I22">
        <v>0</v>
      </c>
      <c r="V22">
        <v>65.241</v>
      </c>
      <c r="W22">
        <v>45.747999999999998</v>
      </c>
      <c r="X22">
        <v>13.645</v>
      </c>
      <c r="Y22">
        <v>0</v>
      </c>
      <c r="Z22">
        <v>0</v>
      </c>
      <c r="AA22">
        <v>0</v>
      </c>
    </row>
    <row r="23" spans="2:27">
      <c r="B23">
        <v>800</v>
      </c>
      <c r="C23">
        <v>31.699000000000002</v>
      </c>
      <c r="D23">
        <v>69.53</v>
      </c>
      <c r="E23">
        <v>46.143000000000001</v>
      </c>
      <c r="F23">
        <v>18.71</v>
      </c>
      <c r="G23">
        <v>0</v>
      </c>
      <c r="H23">
        <v>0</v>
      </c>
      <c r="I23">
        <v>0</v>
      </c>
      <c r="V23">
        <v>69.53</v>
      </c>
      <c r="W23">
        <v>48.46</v>
      </c>
      <c r="X23">
        <v>16.856000000000002</v>
      </c>
      <c r="Y23">
        <v>0</v>
      </c>
      <c r="Z23">
        <v>0</v>
      </c>
      <c r="AA23">
        <v>0</v>
      </c>
    </row>
    <row r="24" spans="2:27">
      <c r="B24">
        <v>882.11699999999996</v>
      </c>
      <c r="C24">
        <v>31.664999999999999</v>
      </c>
      <c r="D24">
        <v>72.623999999999995</v>
      </c>
      <c r="E24">
        <v>48.466999999999999</v>
      </c>
      <c r="F24">
        <v>21.31</v>
      </c>
      <c r="G24" t="s">
        <v>108</v>
      </c>
      <c r="K24" t="s">
        <v>122</v>
      </c>
      <c r="T24">
        <v>882.11699999999996</v>
      </c>
      <c r="U24">
        <v>31.664999999999999</v>
      </c>
      <c r="V24">
        <v>72.623999999999995</v>
      </c>
      <c r="W24">
        <v>50.567999999999998</v>
      </c>
      <c r="X24">
        <v>19.456</v>
      </c>
      <c r="Y24" t="s">
        <v>109</v>
      </c>
    </row>
    <row r="25" spans="2:27">
      <c r="B25">
        <v>882.11699999999996</v>
      </c>
      <c r="C25">
        <v>18.454000000000001</v>
      </c>
      <c r="D25">
        <v>133.077</v>
      </c>
      <c r="E25">
        <v>48.466999999999999</v>
      </c>
      <c r="F25">
        <v>74.635999999999996</v>
      </c>
      <c r="G25" t="s">
        <v>109</v>
      </c>
      <c r="K25" s="2" t="s">
        <v>158</v>
      </c>
      <c r="T25">
        <v>900</v>
      </c>
      <c r="U25">
        <v>31.664999999999999</v>
      </c>
      <c r="V25">
        <v>73.260000000000005</v>
      </c>
      <c r="W25">
        <v>51.012</v>
      </c>
      <c r="X25">
        <v>20.023</v>
      </c>
      <c r="Y25">
        <v>53.09</v>
      </c>
      <c r="Z25">
        <v>1.079</v>
      </c>
      <c r="AA25">
        <v>6.3E-2</v>
      </c>
    </row>
    <row r="26" spans="2:27">
      <c r="B26">
        <v>900</v>
      </c>
      <c r="C26">
        <v>18.483000000000001</v>
      </c>
      <c r="D26">
        <v>133.44800000000001</v>
      </c>
      <c r="E26">
        <v>50.152000000000001</v>
      </c>
      <c r="F26">
        <v>74.966999999999999</v>
      </c>
      <c r="G26">
        <v>0</v>
      </c>
      <c r="H26">
        <v>0</v>
      </c>
      <c r="I26">
        <v>0</v>
      </c>
      <c r="K26" t="s">
        <v>133</v>
      </c>
      <c r="L26" t="s">
        <v>132</v>
      </c>
      <c r="T26">
        <v>1000</v>
      </c>
      <c r="U26">
        <v>31.664999999999999</v>
      </c>
      <c r="V26">
        <v>76.596000000000004</v>
      </c>
      <c r="W26">
        <v>53.406999999999996</v>
      </c>
      <c r="X26">
        <v>23.189</v>
      </c>
      <c r="Y26">
        <v>-51.78</v>
      </c>
      <c r="Z26">
        <v>7.0279999999999996</v>
      </c>
      <c r="AA26">
        <v>-0.36699999999999999</v>
      </c>
    </row>
    <row r="27" spans="2:27">
      <c r="B27">
        <v>1000</v>
      </c>
      <c r="C27">
        <v>18.638000000000002</v>
      </c>
      <c r="D27">
        <v>135.40299999999999</v>
      </c>
      <c r="E27">
        <v>58.581000000000003</v>
      </c>
      <c r="F27">
        <v>76.822999999999993</v>
      </c>
      <c r="G27">
        <v>0</v>
      </c>
      <c r="H27">
        <v>0</v>
      </c>
      <c r="I27">
        <v>0</v>
      </c>
      <c r="K27" t="s">
        <v>97</v>
      </c>
      <c r="L27" t="s">
        <v>61</v>
      </c>
      <c r="M27" t="s">
        <v>2</v>
      </c>
      <c r="N27" t="s">
        <v>98</v>
      </c>
      <c r="O27" t="s">
        <v>99</v>
      </c>
      <c r="P27" t="s">
        <v>100</v>
      </c>
      <c r="Q27" t="s">
        <v>101</v>
      </c>
      <c r="R27" t="s">
        <v>102</v>
      </c>
      <c r="T27">
        <v>1100</v>
      </c>
      <c r="U27">
        <v>31.664999999999999</v>
      </c>
      <c r="V27">
        <v>79.614000000000004</v>
      </c>
      <c r="W27">
        <v>55.654000000000003</v>
      </c>
      <c r="X27">
        <v>26.356000000000002</v>
      </c>
      <c r="Y27">
        <v>-50.484999999999999</v>
      </c>
      <c r="Z27">
        <v>12.846</v>
      </c>
      <c r="AA27">
        <v>-0.61</v>
      </c>
    </row>
    <row r="28" spans="2:27">
      <c r="B28">
        <v>1100</v>
      </c>
      <c r="C28">
        <v>18.792000000000002</v>
      </c>
      <c r="D28">
        <v>137.18700000000001</v>
      </c>
      <c r="E28">
        <v>65.647000000000006</v>
      </c>
      <c r="F28">
        <v>78.694000000000003</v>
      </c>
      <c r="G28">
        <v>0</v>
      </c>
      <c r="H28">
        <v>0</v>
      </c>
      <c r="I28">
        <v>0</v>
      </c>
      <c r="K28">
        <v>0</v>
      </c>
      <c r="L28">
        <v>0</v>
      </c>
      <c r="M28">
        <v>0</v>
      </c>
      <c r="N28" t="s">
        <v>103</v>
      </c>
      <c r="O28">
        <v>-4.5250000000000004</v>
      </c>
      <c r="P28">
        <v>0.247</v>
      </c>
      <c r="Q28">
        <v>0.247</v>
      </c>
      <c r="R28" t="s">
        <v>103</v>
      </c>
      <c r="T28">
        <v>1200</v>
      </c>
      <c r="U28">
        <v>31.664999999999999</v>
      </c>
      <c r="V28">
        <v>82.369</v>
      </c>
      <c r="W28">
        <v>57.767000000000003</v>
      </c>
      <c r="X28">
        <v>29.521999999999998</v>
      </c>
      <c r="Y28">
        <v>-49.204999999999998</v>
      </c>
      <c r="Z28">
        <v>18.545999999999999</v>
      </c>
      <c r="AA28">
        <v>-0.80700000000000005</v>
      </c>
    </row>
    <row r="29" spans="2:27">
      <c r="B29">
        <v>1200</v>
      </c>
      <c r="C29">
        <v>18.946999999999999</v>
      </c>
      <c r="D29">
        <v>138.82900000000001</v>
      </c>
      <c r="E29">
        <v>71.677999999999997</v>
      </c>
      <c r="F29">
        <v>80.581000000000003</v>
      </c>
      <c r="G29">
        <v>0</v>
      </c>
      <c r="H29">
        <v>0</v>
      </c>
      <c r="I29">
        <v>0</v>
      </c>
      <c r="K29">
        <v>100</v>
      </c>
      <c r="L29">
        <v>12.874000000000001</v>
      </c>
      <c r="M29">
        <v>12.964</v>
      </c>
      <c r="N29">
        <v>51.216999999999999</v>
      </c>
      <c r="O29">
        <v>-3.8250000000000002</v>
      </c>
      <c r="P29">
        <v>0.25700000000000001</v>
      </c>
      <c r="Q29">
        <v>0.21299999999999999</v>
      </c>
      <c r="R29">
        <v>-0.111</v>
      </c>
      <c r="T29">
        <v>1300</v>
      </c>
      <c r="U29">
        <v>31.664999999999999</v>
      </c>
      <c r="V29">
        <v>84.903999999999996</v>
      </c>
      <c r="W29">
        <v>59.758000000000003</v>
      </c>
      <c r="X29">
        <v>32.689</v>
      </c>
      <c r="Y29">
        <v>-47.941000000000003</v>
      </c>
      <c r="Z29">
        <v>24.140999999999998</v>
      </c>
      <c r="AA29">
        <v>-0.97</v>
      </c>
    </row>
    <row r="30" spans="2:27">
      <c r="B30">
        <v>1300</v>
      </c>
      <c r="C30">
        <v>19.103000000000002</v>
      </c>
      <c r="D30">
        <v>140.352</v>
      </c>
      <c r="E30">
        <v>76.903000000000006</v>
      </c>
      <c r="F30">
        <v>82.483999999999995</v>
      </c>
      <c r="G30">
        <v>0</v>
      </c>
      <c r="H30">
        <v>0</v>
      </c>
      <c r="I30">
        <v>0</v>
      </c>
      <c r="K30">
        <v>198.3</v>
      </c>
      <c r="L30">
        <v>21.966000000000001</v>
      </c>
      <c r="M30">
        <v>24.242000000000001</v>
      </c>
      <c r="N30">
        <v>35.146000000000001</v>
      </c>
      <c r="O30">
        <v>-2.1619999999999999</v>
      </c>
      <c r="P30" t="s">
        <v>107</v>
      </c>
      <c r="T30">
        <v>1400</v>
      </c>
      <c r="U30">
        <v>31.664999999999999</v>
      </c>
      <c r="V30">
        <v>87.25</v>
      </c>
      <c r="W30">
        <v>61.639000000000003</v>
      </c>
      <c r="X30">
        <v>35.854999999999997</v>
      </c>
      <c r="Y30">
        <v>-46.692999999999998</v>
      </c>
      <c r="Z30">
        <v>29.638999999999999</v>
      </c>
      <c r="AA30">
        <v>-1.1060000000000001</v>
      </c>
    </row>
    <row r="31" spans="2:27">
      <c r="B31">
        <v>1400</v>
      </c>
      <c r="C31">
        <v>19.257000000000001</v>
      </c>
      <c r="D31">
        <v>141.773</v>
      </c>
      <c r="E31">
        <v>81.486000000000004</v>
      </c>
      <c r="F31">
        <v>84.402000000000001</v>
      </c>
      <c r="G31">
        <v>0</v>
      </c>
      <c r="H31">
        <v>0</v>
      </c>
      <c r="I31">
        <v>0</v>
      </c>
      <c r="K31">
        <v>198.3</v>
      </c>
      <c r="L31">
        <v>21.966000000000001</v>
      </c>
      <c r="M31">
        <v>24.242000000000001</v>
      </c>
      <c r="N31">
        <v>35.146000000000001</v>
      </c>
      <c r="O31">
        <v>-2.1619999999999999</v>
      </c>
      <c r="P31" t="s">
        <v>105</v>
      </c>
      <c r="T31">
        <v>1500</v>
      </c>
      <c r="U31">
        <v>31.664999999999999</v>
      </c>
      <c r="V31">
        <v>89.435000000000002</v>
      </c>
      <c r="W31">
        <v>63.42</v>
      </c>
      <c r="X31">
        <v>39.021000000000001</v>
      </c>
      <c r="Y31">
        <v>-45.46</v>
      </c>
      <c r="Z31">
        <v>35.048000000000002</v>
      </c>
      <c r="AA31">
        <v>-1.22</v>
      </c>
    </row>
    <row r="32" spans="2:27">
      <c r="B32">
        <v>1500</v>
      </c>
      <c r="C32">
        <v>19.408999999999999</v>
      </c>
      <c r="D32">
        <v>143.107</v>
      </c>
      <c r="E32">
        <v>85.55</v>
      </c>
      <c r="F32">
        <v>86.334999999999994</v>
      </c>
      <c r="G32">
        <v>0</v>
      </c>
      <c r="H32">
        <v>0</v>
      </c>
      <c r="I32">
        <v>0</v>
      </c>
      <c r="K32">
        <v>200</v>
      </c>
      <c r="L32">
        <v>20.154</v>
      </c>
      <c r="M32">
        <v>24.420999999999999</v>
      </c>
      <c r="N32">
        <v>35.054000000000002</v>
      </c>
      <c r="O32">
        <v>-2.1269999999999998</v>
      </c>
      <c r="P32">
        <v>0.313</v>
      </c>
      <c r="Q32">
        <v>0.157</v>
      </c>
      <c r="R32">
        <v>-4.1000000000000002E-2</v>
      </c>
    </row>
    <row r="33" spans="2:27">
      <c r="B33">
        <v>1600</v>
      </c>
      <c r="C33">
        <v>19.556000000000001</v>
      </c>
      <c r="D33">
        <v>144.364</v>
      </c>
      <c r="E33">
        <v>89.186999999999998</v>
      </c>
      <c r="F33">
        <v>88.283000000000001</v>
      </c>
      <c r="G33">
        <v>0</v>
      </c>
      <c r="H33">
        <v>0</v>
      </c>
      <c r="I33">
        <v>0</v>
      </c>
      <c r="K33">
        <v>250</v>
      </c>
      <c r="L33">
        <v>21.736000000000001</v>
      </c>
      <c r="M33">
        <v>29.065999999999999</v>
      </c>
      <c r="N33">
        <v>33.402000000000001</v>
      </c>
      <c r="O33">
        <v>-1.0840000000000001</v>
      </c>
      <c r="P33">
        <v>0.33600000000000002</v>
      </c>
      <c r="Q33">
        <v>0.115</v>
      </c>
      <c r="R33">
        <v>-2.4E-2</v>
      </c>
    </row>
    <row r="34" spans="2:27">
      <c r="B34">
        <v>1700</v>
      </c>
      <c r="C34">
        <v>19.696999999999999</v>
      </c>
      <c r="D34">
        <v>145.554</v>
      </c>
      <c r="E34">
        <v>92.468000000000004</v>
      </c>
      <c r="F34">
        <v>90.245999999999995</v>
      </c>
      <c r="G34">
        <v>0</v>
      </c>
      <c r="H34">
        <v>0</v>
      </c>
      <c r="I34">
        <v>0</v>
      </c>
      <c r="K34" s="42">
        <v>298.14999999999998</v>
      </c>
      <c r="L34" s="42">
        <v>23.225000000000001</v>
      </c>
      <c r="M34" s="42">
        <v>33.027999999999999</v>
      </c>
      <c r="N34" s="42">
        <v>33.027999999999999</v>
      </c>
      <c r="O34" s="42">
        <v>0</v>
      </c>
      <c r="P34" s="42">
        <v>0.36</v>
      </c>
      <c r="Q34" s="42">
        <v>7.0000000000000007E-2</v>
      </c>
      <c r="R34" s="42">
        <v>-1.2E-2</v>
      </c>
      <c r="T34" t="s">
        <v>130</v>
      </c>
    </row>
    <row r="35" spans="2:27">
      <c r="B35">
        <v>1800</v>
      </c>
      <c r="C35">
        <v>19.829999999999998</v>
      </c>
      <c r="D35">
        <v>146.684</v>
      </c>
      <c r="E35">
        <v>95.448999999999998</v>
      </c>
      <c r="F35">
        <v>92.222999999999999</v>
      </c>
      <c r="G35">
        <v>0</v>
      </c>
      <c r="H35">
        <v>0</v>
      </c>
      <c r="I35">
        <v>0</v>
      </c>
      <c r="K35">
        <v>300</v>
      </c>
      <c r="L35">
        <v>23.276</v>
      </c>
      <c r="M35">
        <v>33.171999999999997</v>
      </c>
      <c r="N35">
        <v>33.027999999999999</v>
      </c>
      <c r="O35">
        <v>4.2999999999999997E-2</v>
      </c>
      <c r="P35">
        <v>0.36099999999999999</v>
      </c>
      <c r="Q35">
        <v>6.8000000000000005E-2</v>
      </c>
      <c r="R35">
        <v>-1.2E-2</v>
      </c>
      <c r="T35" s="2" t="s">
        <v>162</v>
      </c>
    </row>
    <row r="36" spans="2:27">
      <c r="B36">
        <v>1900</v>
      </c>
      <c r="C36">
        <v>19.956</v>
      </c>
      <c r="D36">
        <v>147.75899999999999</v>
      </c>
      <c r="E36">
        <v>98.174000000000007</v>
      </c>
      <c r="F36">
        <v>94.212000000000003</v>
      </c>
      <c r="G36">
        <v>0</v>
      </c>
      <c r="H36">
        <v>0</v>
      </c>
      <c r="I36">
        <v>0</v>
      </c>
      <c r="K36">
        <v>350</v>
      </c>
      <c r="L36">
        <v>24.414000000000001</v>
      </c>
      <c r="M36">
        <v>36.848999999999997</v>
      </c>
      <c r="N36">
        <v>33.316000000000003</v>
      </c>
      <c r="O36">
        <v>1.2370000000000001</v>
      </c>
      <c r="P36">
        <v>0.38800000000000001</v>
      </c>
      <c r="Q36">
        <v>1.7000000000000001E-2</v>
      </c>
      <c r="R36">
        <v>-3.0000000000000001E-3</v>
      </c>
      <c r="T36" t="s">
        <v>95</v>
      </c>
      <c r="U36" t="s">
        <v>136</v>
      </c>
    </row>
    <row r="37" spans="2:27">
      <c r="B37">
        <v>2000</v>
      </c>
      <c r="C37">
        <v>20.071999999999999</v>
      </c>
      <c r="D37">
        <v>148.786</v>
      </c>
      <c r="E37">
        <v>100.679</v>
      </c>
      <c r="F37">
        <v>96.212999999999994</v>
      </c>
      <c r="G37">
        <v>0</v>
      </c>
      <c r="H37">
        <v>0</v>
      </c>
      <c r="I37">
        <v>0</v>
      </c>
      <c r="K37" s="26">
        <v>368.3</v>
      </c>
      <c r="L37" s="26">
        <v>24.773</v>
      </c>
      <c r="M37" s="26">
        <v>38.103000000000002</v>
      </c>
      <c r="N37" s="26">
        <v>33.523000000000003</v>
      </c>
      <c r="O37" s="26">
        <v>1.6870000000000001</v>
      </c>
      <c r="P37" s="26" t="s">
        <v>104</v>
      </c>
      <c r="Q37" s="26"/>
      <c r="R37" s="26"/>
      <c r="T37" t="s">
        <v>97</v>
      </c>
      <c r="U37" t="s">
        <v>61</v>
      </c>
      <c r="V37" t="s">
        <v>2</v>
      </c>
      <c r="W37" t="s">
        <v>98</v>
      </c>
      <c r="X37" t="s">
        <v>99</v>
      </c>
      <c r="Y37" t="s">
        <v>100</v>
      </c>
      <c r="Z37" t="s">
        <v>101</v>
      </c>
      <c r="AA37" t="s">
        <v>102</v>
      </c>
    </row>
    <row r="38" spans="2:27">
      <c r="B38">
        <v>2100</v>
      </c>
      <c r="C38">
        <v>20.175999999999998</v>
      </c>
      <c r="D38">
        <v>149.768</v>
      </c>
      <c r="E38">
        <v>102.99299999999999</v>
      </c>
      <c r="F38">
        <v>98.225999999999999</v>
      </c>
      <c r="G38">
        <v>0</v>
      </c>
      <c r="H38">
        <v>0</v>
      </c>
      <c r="I38">
        <v>0</v>
      </c>
      <c r="K38" s="26">
        <v>388.36</v>
      </c>
      <c r="L38" s="26">
        <v>25.167000000000002</v>
      </c>
      <c r="M38" s="26">
        <v>39.427</v>
      </c>
      <c r="N38" s="26">
        <v>33.793999999999997</v>
      </c>
      <c r="O38" s="26">
        <v>2.1880000000000002</v>
      </c>
      <c r="P38" s="26" t="s">
        <v>106</v>
      </c>
      <c r="Q38" s="26"/>
      <c r="R38" s="26"/>
      <c r="T38">
        <v>0</v>
      </c>
      <c r="U38">
        <v>0</v>
      </c>
      <c r="V38">
        <v>0</v>
      </c>
      <c r="W38" t="s">
        <v>103</v>
      </c>
      <c r="X38">
        <v>-4.4119999999999999</v>
      </c>
      <c r="Y38">
        <v>0</v>
      </c>
      <c r="Z38">
        <v>0</v>
      </c>
      <c r="AA38">
        <v>0</v>
      </c>
    </row>
    <row r="39" spans="2:27">
      <c r="B39">
        <v>2200</v>
      </c>
      <c r="C39">
        <v>20.274000000000001</v>
      </c>
      <c r="D39">
        <v>150.708</v>
      </c>
      <c r="E39">
        <v>105.14100000000001</v>
      </c>
      <c r="F39">
        <v>100.248</v>
      </c>
      <c r="G39">
        <v>0</v>
      </c>
      <c r="H39">
        <v>0</v>
      </c>
      <c r="I39">
        <v>0</v>
      </c>
      <c r="K39">
        <v>400</v>
      </c>
      <c r="L39">
        <v>25.396999999999998</v>
      </c>
      <c r="M39">
        <v>40.173000000000002</v>
      </c>
      <c r="N39">
        <v>33.969000000000001</v>
      </c>
      <c r="O39">
        <v>2.4820000000000002</v>
      </c>
      <c r="P39">
        <v>-1.7969999999999999</v>
      </c>
      <c r="Q39">
        <v>0.05</v>
      </c>
      <c r="R39">
        <v>-7.0000000000000001E-3</v>
      </c>
      <c r="T39">
        <v>100</v>
      </c>
      <c r="U39">
        <v>12.77</v>
      </c>
      <c r="V39">
        <v>12.522</v>
      </c>
      <c r="W39">
        <v>49.744</v>
      </c>
      <c r="X39">
        <v>-3.722</v>
      </c>
      <c r="Y39">
        <v>0</v>
      </c>
      <c r="Z39">
        <v>0</v>
      </c>
      <c r="AA39">
        <v>0</v>
      </c>
    </row>
    <row r="40" spans="2:27">
      <c r="B40">
        <v>2300</v>
      </c>
      <c r="C40">
        <v>20.364000000000001</v>
      </c>
      <c r="D40">
        <v>151.61199999999999</v>
      </c>
      <c r="E40">
        <v>107.142</v>
      </c>
      <c r="F40">
        <v>102.28</v>
      </c>
      <c r="G40">
        <v>0</v>
      </c>
      <c r="H40">
        <v>0</v>
      </c>
      <c r="I40">
        <v>0</v>
      </c>
      <c r="K40">
        <v>450</v>
      </c>
      <c r="L40">
        <v>26.38</v>
      </c>
      <c r="M40">
        <v>43.222000000000001</v>
      </c>
      <c r="N40">
        <v>34.83</v>
      </c>
      <c r="O40">
        <v>3.7759999999999998</v>
      </c>
      <c r="P40">
        <v>-2.4279999999999999</v>
      </c>
      <c r="Q40">
        <v>0.31</v>
      </c>
      <c r="R40">
        <v>-3.5999999999999997E-2</v>
      </c>
      <c r="T40">
        <v>200</v>
      </c>
      <c r="U40">
        <v>19.367999999999999</v>
      </c>
      <c r="V40">
        <v>23.637</v>
      </c>
      <c r="W40">
        <v>34.037999999999997</v>
      </c>
      <c r="X40">
        <v>-2.08</v>
      </c>
      <c r="Y40">
        <v>0</v>
      </c>
      <c r="Z40">
        <v>0</v>
      </c>
      <c r="AA40">
        <v>0</v>
      </c>
    </row>
    <row r="41" spans="2:27">
      <c r="B41">
        <v>2400</v>
      </c>
      <c r="C41">
        <v>20.448</v>
      </c>
      <c r="D41">
        <v>152.47999999999999</v>
      </c>
      <c r="E41">
        <v>109.01300000000001</v>
      </c>
      <c r="F41">
        <v>104.321</v>
      </c>
      <c r="G41">
        <v>0</v>
      </c>
      <c r="H41">
        <v>0</v>
      </c>
      <c r="I41">
        <v>0</v>
      </c>
      <c r="K41">
        <v>500</v>
      </c>
      <c r="L41">
        <v>27.363</v>
      </c>
      <c r="M41">
        <v>46.052</v>
      </c>
      <c r="N41">
        <v>35.811999999999998</v>
      </c>
      <c r="O41">
        <v>5.12</v>
      </c>
      <c r="P41">
        <v>-3.0870000000000002</v>
      </c>
      <c r="Q41">
        <v>0.65300000000000002</v>
      </c>
      <c r="R41">
        <v>-6.8000000000000005E-2</v>
      </c>
      <c r="T41">
        <v>250</v>
      </c>
      <c r="U41">
        <v>21.297000000000001</v>
      </c>
      <c r="V41">
        <v>28.178999999999998</v>
      </c>
      <c r="W41">
        <v>32.421999999999997</v>
      </c>
      <c r="X41">
        <v>-1.0609999999999999</v>
      </c>
      <c r="Y41">
        <v>0</v>
      </c>
      <c r="Z41">
        <v>0</v>
      </c>
      <c r="AA41">
        <v>0</v>
      </c>
    </row>
    <row r="42" spans="2:27">
      <c r="B42">
        <v>2500</v>
      </c>
      <c r="C42">
        <v>20.526</v>
      </c>
      <c r="D42">
        <v>153.316</v>
      </c>
      <c r="E42">
        <v>110.76900000000001</v>
      </c>
      <c r="F42">
        <v>106.37</v>
      </c>
      <c r="G42">
        <v>0</v>
      </c>
      <c r="H42">
        <v>0</v>
      </c>
      <c r="I42">
        <v>0</v>
      </c>
      <c r="K42">
        <v>600</v>
      </c>
      <c r="L42">
        <v>29.33</v>
      </c>
      <c r="M42">
        <v>51.215000000000003</v>
      </c>
      <c r="N42">
        <v>37.957000000000001</v>
      </c>
      <c r="O42">
        <v>7.9550000000000001</v>
      </c>
      <c r="P42">
        <v>-3.8380000000000001</v>
      </c>
      <c r="Q42">
        <v>1.4810000000000001</v>
      </c>
      <c r="R42">
        <v>-0.129</v>
      </c>
      <c r="T42">
        <v>298.14999999999998</v>
      </c>
      <c r="U42">
        <v>22.698</v>
      </c>
      <c r="V42">
        <v>32.055999999999997</v>
      </c>
      <c r="W42">
        <v>32.055999999999997</v>
      </c>
      <c r="X42">
        <v>0</v>
      </c>
      <c r="Y42">
        <v>0</v>
      </c>
      <c r="Z42">
        <v>0</v>
      </c>
      <c r="AA42">
        <v>0</v>
      </c>
    </row>
    <row r="43" spans="2:27">
      <c r="B43">
        <v>2600</v>
      </c>
      <c r="C43">
        <v>20.588999999999999</v>
      </c>
      <c r="D43">
        <v>154.12299999999999</v>
      </c>
      <c r="E43">
        <v>112.42100000000001</v>
      </c>
      <c r="F43">
        <v>108.426</v>
      </c>
      <c r="G43">
        <v>0</v>
      </c>
      <c r="H43">
        <v>0</v>
      </c>
      <c r="I43">
        <v>0</v>
      </c>
      <c r="K43">
        <v>700</v>
      </c>
      <c r="L43">
        <v>31.295999999999999</v>
      </c>
      <c r="M43">
        <v>55.884</v>
      </c>
      <c r="N43">
        <v>40.189</v>
      </c>
      <c r="O43">
        <v>10.986000000000001</v>
      </c>
      <c r="P43">
        <v>-4.1529999999999996</v>
      </c>
      <c r="Q43">
        <v>2.3969999999999998</v>
      </c>
      <c r="R43">
        <v>-0.17899999999999999</v>
      </c>
      <c r="T43">
        <v>300</v>
      </c>
      <c r="U43">
        <v>22.744</v>
      </c>
      <c r="V43">
        <v>32.195999999999998</v>
      </c>
      <c r="W43">
        <v>32.055999999999997</v>
      </c>
      <c r="X43">
        <v>4.2000000000000003E-2</v>
      </c>
      <c r="Y43">
        <v>0</v>
      </c>
      <c r="Z43">
        <v>0</v>
      </c>
      <c r="AA43">
        <v>0</v>
      </c>
    </row>
    <row r="44" spans="2:27">
      <c r="B44">
        <v>2700</v>
      </c>
      <c r="C44">
        <v>20.65</v>
      </c>
      <c r="D44">
        <v>154.90100000000001</v>
      </c>
      <c r="E44">
        <v>113.98</v>
      </c>
      <c r="F44">
        <v>110.488</v>
      </c>
      <c r="G44">
        <v>0</v>
      </c>
      <c r="H44">
        <v>0</v>
      </c>
      <c r="I44">
        <v>0</v>
      </c>
      <c r="K44">
        <v>800</v>
      </c>
      <c r="L44">
        <v>33.262999999999998</v>
      </c>
      <c r="M44">
        <v>60.191000000000003</v>
      </c>
      <c r="N44">
        <v>42.423999999999999</v>
      </c>
      <c r="O44">
        <v>14.214</v>
      </c>
      <c r="P44">
        <v>-4.1360000000000001</v>
      </c>
      <c r="Q44">
        <v>3.335</v>
      </c>
      <c r="R44">
        <v>-0.218</v>
      </c>
      <c r="T44">
        <v>350</v>
      </c>
      <c r="U44">
        <v>23.87</v>
      </c>
      <c r="V44">
        <v>35.789000000000001</v>
      </c>
      <c r="W44">
        <v>32.337000000000003</v>
      </c>
      <c r="X44">
        <v>1.208</v>
      </c>
      <c r="Y44">
        <v>0</v>
      </c>
      <c r="Z44">
        <v>0</v>
      </c>
      <c r="AA44">
        <v>0</v>
      </c>
    </row>
    <row r="45" spans="2:27">
      <c r="B45">
        <v>2800</v>
      </c>
      <c r="C45">
        <v>20.707000000000001</v>
      </c>
      <c r="D45">
        <v>155.65299999999999</v>
      </c>
      <c r="E45">
        <v>115.455</v>
      </c>
      <c r="F45">
        <v>112.55500000000001</v>
      </c>
      <c r="G45">
        <v>0</v>
      </c>
      <c r="H45">
        <v>0</v>
      </c>
      <c r="I45">
        <v>0</v>
      </c>
      <c r="T45">
        <v>368.3</v>
      </c>
      <c r="U45">
        <v>24.245999999999999</v>
      </c>
      <c r="V45">
        <v>37.015000000000001</v>
      </c>
      <c r="W45">
        <v>32.54</v>
      </c>
      <c r="X45">
        <v>1.6479999999999999</v>
      </c>
      <c r="Y45" t="s">
        <v>104</v>
      </c>
    </row>
    <row r="46" spans="2:27">
      <c r="B46">
        <v>2900</v>
      </c>
      <c r="C46">
        <v>20.762</v>
      </c>
      <c r="D46">
        <v>156.381</v>
      </c>
      <c r="E46">
        <v>116.85299999999999</v>
      </c>
      <c r="F46">
        <v>114.629</v>
      </c>
      <c r="G46">
        <v>0</v>
      </c>
      <c r="H46">
        <v>0</v>
      </c>
      <c r="I46">
        <v>0</v>
      </c>
      <c r="T46">
        <v>368.3</v>
      </c>
      <c r="U46">
        <v>24.773</v>
      </c>
      <c r="V46">
        <v>38.103000000000002</v>
      </c>
      <c r="W46">
        <v>32.54</v>
      </c>
      <c r="X46">
        <v>2.0489999999999999</v>
      </c>
      <c r="Y46" t="s">
        <v>105</v>
      </c>
    </row>
    <row r="47" spans="2:27">
      <c r="B47">
        <v>3000</v>
      </c>
      <c r="C47">
        <v>20.812999999999999</v>
      </c>
      <c r="D47">
        <v>157.08500000000001</v>
      </c>
      <c r="E47">
        <v>118.18300000000001</v>
      </c>
      <c r="F47">
        <v>116.708</v>
      </c>
      <c r="G47">
        <v>0</v>
      </c>
      <c r="H47">
        <v>0</v>
      </c>
      <c r="I47">
        <v>0</v>
      </c>
      <c r="T47">
        <v>388.36</v>
      </c>
      <c r="U47">
        <v>25.167000000000002</v>
      </c>
      <c r="V47">
        <v>39.427</v>
      </c>
      <c r="W47">
        <v>32.860999999999997</v>
      </c>
      <c r="X47">
        <v>2.5499999999999998</v>
      </c>
      <c r="Y47" t="s">
        <v>106</v>
      </c>
    </row>
    <row r="48" spans="2:27">
      <c r="B48">
        <v>3100</v>
      </c>
      <c r="C48">
        <v>20.855</v>
      </c>
      <c r="D48">
        <v>157.768</v>
      </c>
      <c r="E48">
        <v>119.449</v>
      </c>
      <c r="F48">
        <v>118.791</v>
      </c>
      <c r="G48">
        <v>0</v>
      </c>
      <c r="H48">
        <v>0</v>
      </c>
      <c r="I48">
        <v>0</v>
      </c>
      <c r="T48">
        <v>388.36</v>
      </c>
      <c r="U48">
        <v>31.062000000000001</v>
      </c>
      <c r="V48">
        <v>43.859000000000002</v>
      </c>
      <c r="W48">
        <v>32.860999999999997</v>
      </c>
      <c r="X48">
        <v>4.2709999999999999</v>
      </c>
      <c r="Y48" t="s">
        <v>105</v>
      </c>
    </row>
    <row r="49" spans="2:27">
      <c r="B49">
        <v>3200</v>
      </c>
      <c r="C49">
        <v>20.898</v>
      </c>
      <c r="D49">
        <v>158.43100000000001</v>
      </c>
      <c r="E49">
        <v>120.657</v>
      </c>
      <c r="F49">
        <v>120.879</v>
      </c>
      <c r="G49">
        <v>0</v>
      </c>
      <c r="H49">
        <v>0</v>
      </c>
      <c r="I49">
        <v>0</v>
      </c>
      <c r="T49">
        <v>400</v>
      </c>
      <c r="U49">
        <v>32.161999999999999</v>
      </c>
      <c r="V49">
        <v>44.792999999999999</v>
      </c>
      <c r="W49">
        <v>33.195</v>
      </c>
      <c r="X49">
        <v>4.6390000000000002</v>
      </c>
      <c r="Y49">
        <v>0</v>
      </c>
      <c r="Z49">
        <v>0</v>
      </c>
      <c r="AA49">
        <v>0</v>
      </c>
    </row>
    <row r="50" spans="2:27">
      <c r="B50">
        <v>3300</v>
      </c>
      <c r="C50">
        <v>20.94</v>
      </c>
      <c r="D50">
        <v>159.07499999999999</v>
      </c>
      <c r="E50">
        <v>121.81100000000001</v>
      </c>
      <c r="F50">
        <v>122.971</v>
      </c>
      <c r="G50">
        <v>0</v>
      </c>
      <c r="H50">
        <v>0</v>
      </c>
      <c r="I50">
        <v>0</v>
      </c>
      <c r="T50">
        <v>432.02</v>
      </c>
      <c r="U50">
        <v>53.808</v>
      </c>
      <c r="V50">
        <v>47.430999999999997</v>
      </c>
      <c r="W50">
        <v>34.151000000000003</v>
      </c>
      <c r="X50">
        <v>5.7370000000000001</v>
      </c>
      <c r="Y50" t="s">
        <v>107</v>
      </c>
    </row>
    <row r="51" spans="2:27">
      <c r="B51">
        <v>3400</v>
      </c>
      <c r="C51">
        <v>20.983000000000001</v>
      </c>
      <c r="D51">
        <v>159.70099999999999</v>
      </c>
      <c r="E51">
        <v>122.916</v>
      </c>
      <c r="F51">
        <v>125.06699999999999</v>
      </c>
      <c r="G51">
        <v>0</v>
      </c>
      <c r="H51">
        <v>0</v>
      </c>
      <c r="I51">
        <v>0</v>
      </c>
      <c r="T51">
        <v>432.02</v>
      </c>
      <c r="U51">
        <v>53.805999999999997</v>
      </c>
      <c r="V51">
        <v>47.430999999999997</v>
      </c>
      <c r="W51">
        <v>34.151000000000003</v>
      </c>
      <c r="X51">
        <v>5.7370000000000001</v>
      </c>
      <c r="Y51" t="s">
        <v>105</v>
      </c>
    </row>
    <row r="52" spans="2:27">
      <c r="B52">
        <v>3500</v>
      </c>
      <c r="C52">
        <v>21.024999999999999</v>
      </c>
      <c r="D52">
        <v>160.31</v>
      </c>
      <c r="E52">
        <v>123.976</v>
      </c>
      <c r="F52">
        <v>127.167</v>
      </c>
      <c r="G52">
        <v>0</v>
      </c>
      <c r="H52">
        <v>0</v>
      </c>
      <c r="I52">
        <v>0</v>
      </c>
      <c r="T52">
        <v>450</v>
      </c>
      <c r="U52">
        <v>43.045999999999999</v>
      </c>
      <c r="V52">
        <v>49.308</v>
      </c>
      <c r="W52">
        <v>34.72</v>
      </c>
      <c r="X52">
        <v>6.5640000000000001</v>
      </c>
      <c r="Y52">
        <v>0</v>
      </c>
      <c r="Z52">
        <v>0</v>
      </c>
      <c r="AA52">
        <v>0</v>
      </c>
    </row>
    <row r="53" spans="2:27">
      <c r="B53">
        <v>3600</v>
      </c>
      <c r="C53">
        <v>21.065000000000001</v>
      </c>
      <c r="D53">
        <v>160.90199999999999</v>
      </c>
      <c r="E53">
        <v>124.994</v>
      </c>
      <c r="F53">
        <v>129.27199999999999</v>
      </c>
      <c r="G53">
        <v>0</v>
      </c>
      <c r="H53">
        <v>0</v>
      </c>
      <c r="I53">
        <v>0</v>
      </c>
      <c r="T53">
        <v>500</v>
      </c>
      <c r="U53">
        <v>37.985999999999997</v>
      </c>
      <c r="V53">
        <v>53.531999999999996</v>
      </c>
      <c r="W53">
        <v>36.398000000000003</v>
      </c>
      <c r="X53">
        <v>8.5670000000000002</v>
      </c>
      <c r="Y53">
        <v>0</v>
      </c>
      <c r="Z53">
        <v>0</v>
      </c>
      <c r="AA53">
        <v>0</v>
      </c>
    </row>
    <row r="54" spans="2:27">
      <c r="B54">
        <v>3700</v>
      </c>
      <c r="C54">
        <v>21.106000000000002</v>
      </c>
      <c r="D54">
        <v>161.47999999999999</v>
      </c>
      <c r="E54">
        <v>125.97199999999999</v>
      </c>
      <c r="F54">
        <v>131.38</v>
      </c>
      <c r="G54">
        <v>0</v>
      </c>
      <c r="H54">
        <v>0</v>
      </c>
      <c r="I54">
        <v>0</v>
      </c>
      <c r="T54">
        <v>600</v>
      </c>
      <c r="U54">
        <v>34.308</v>
      </c>
      <c r="V54">
        <v>60.078000000000003</v>
      </c>
      <c r="W54">
        <v>39.825000000000003</v>
      </c>
      <c r="X54">
        <v>12.151999999999999</v>
      </c>
      <c r="Y54">
        <v>0</v>
      </c>
      <c r="Z54">
        <v>0</v>
      </c>
      <c r="AA54">
        <v>0</v>
      </c>
    </row>
    <row r="55" spans="2:27">
      <c r="B55">
        <v>3800</v>
      </c>
      <c r="C55">
        <v>21.149000000000001</v>
      </c>
      <c r="D55">
        <v>162.04400000000001</v>
      </c>
      <c r="E55">
        <v>126.914</v>
      </c>
      <c r="F55">
        <v>133.49299999999999</v>
      </c>
      <c r="G55">
        <v>0</v>
      </c>
      <c r="H55">
        <v>0</v>
      </c>
      <c r="I55">
        <v>0</v>
      </c>
      <c r="T55">
        <v>700</v>
      </c>
      <c r="U55">
        <v>32.680999999999997</v>
      </c>
      <c r="V55">
        <v>65.241</v>
      </c>
      <c r="W55">
        <v>43.098999999999997</v>
      </c>
      <c r="X55">
        <v>15.499000000000001</v>
      </c>
      <c r="Y55">
        <v>0</v>
      </c>
      <c r="Z55">
        <v>0</v>
      </c>
      <c r="AA55">
        <v>0</v>
      </c>
    </row>
    <row r="56" spans="2:27">
      <c r="B56">
        <v>3900</v>
      </c>
      <c r="C56">
        <v>21.193999999999999</v>
      </c>
      <c r="D56">
        <v>162.59399999999999</v>
      </c>
      <c r="E56">
        <v>127.822</v>
      </c>
      <c r="F56">
        <v>135.61000000000001</v>
      </c>
      <c r="G56">
        <v>0</v>
      </c>
      <c r="H56">
        <v>0</v>
      </c>
      <c r="I56">
        <v>0</v>
      </c>
      <c r="T56">
        <v>800</v>
      </c>
      <c r="U56">
        <v>31.699000000000002</v>
      </c>
      <c r="V56">
        <v>69.53</v>
      </c>
      <c r="W56">
        <v>46.143000000000001</v>
      </c>
      <c r="X56">
        <v>18.71</v>
      </c>
      <c r="Y56">
        <v>0</v>
      </c>
      <c r="Z56">
        <v>0</v>
      </c>
      <c r="AA56">
        <v>0</v>
      </c>
    </row>
    <row r="57" spans="2:27">
      <c r="B57">
        <v>4000</v>
      </c>
      <c r="C57">
        <v>21.24</v>
      </c>
      <c r="D57">
        <v>163.131</v>
      </c>
      <c r="E57">
        <v>128.69800000000001</v>
      </c>
      <c r="F57">
        <v>137.732</v>
      </c>
      <c r="G57">
        <v>0</v>
      </c>
      <c r="H57">
        <v>0</v>
      </c>
      <c r="I57">
        <v>0</v>
      </c>
      <c r="T57">
        <v>882.11699999999996</v>
      </c>
      <c r="U57">
        <v>31.664999999999999</v>
      </c>
      <c r="V57">
        <v>72.623999999999995</v>
      </c>
      <c r="W57">
        <v>48.466999999999999</v>
      </c>
      <c r="X57">
        <v>21.31</v>
      </c>
      <c r="Y57" t="s">
        <v>109</v>
      </c>
    </row>
    <row r="58" spans="2:27">
      <c r="B58">
        <v>4200</v>
      </c>
      <c r="C58">
        <v>21.337</v>
      </c>
      <c r="D58">
        <v>164.16900000000001</v>
      </c>
      <c r="E58">
        <v>130.36199999999999</v>
      </c>
      <c r="F58">
        <v>141.989</v>
      </c>
      <c r="G58">
        <v>0</v>
      </c>
      <c r="H58">
        <v>0</v>
      </c>
      <c r="I58">
        <v>0</v>
      </c>
      <c r="T58">
        <v>900</v>
      </c>
      <c r="U58">
        <v>31.664999999999999</v>
      </c>
      <c r="V58">
        <v>73.260000000000005</v>
      </c>
      <c r="W58">
        <v>48.951999999999998</v>
      </c>
      <c r="X58">
        <v>21.876999999999999</v>
      </c>
      <c r="Y58">
        <v>53.09</v>
      </c>
      <c r="Z58">
        <v>1.079</v>
      </c>
      <c r="AA58">
        <v>6.3E-2</v>
      </c>
    </row>
    <row r="59" spans="2:27">
      <c r="B59">
        <v>4400</v>
      </c>
      <c r="C59">
        <v>21.443000000000001</v>
      </c>
      <c r="D59">
        <v>165.16399999999999</v>
      </c>
      <c r="E59">
        <v>131.922</v>
      </c>
      <c r="F59">
        <v>146.267</v>
      </c>
      <c r="G59">
        <v>0</v>
      </c>
      <c r="H59">
        <v>0</v>
      </c>
      <c r="I59">
        <v>0</v>
      </c>
      <c r="T59">
        <v>1000</v>
      </c>
      <c r="U59">
        <v>31.664999999999999</v>
      </c>
      <c r="V59">
        <v>76.596000000000004</v>
      </c>
      <c r="W59">
        <v>51.552999999999997</v>
      </c>
      <c r="X59">
        <v>25.042999999999999</v>
      </c>
      <c r="Y59">
        <v>-51.78</v>
      </c>
      <c r="Z59">
        <v>7.0279999999999996</v>
      </c>
      <c r="AA59">
        <v>-0.36699999999999999</v>
      </c>
    </row>
    <row r="60" spans="2:27">
      <c r="B60">
        <v>4600</v>
      </c>
      <c r="C60">
        <v>21.558</v>
      </c>
      <c r="D60">
        <v>166.12</v>
      </c>
      <c r="E60">
        <v>133.38800000000001</v>
      </c>
      <c r="F60">
        <v>150.56700000000001</v>
      </c>
      <c r="G60">
        <v>0</v>
      </c>
      <c r="H60">
        <v>0</v>
      </c>
      <c r="I60">
        <v>0</v>
      </c>
      <c r="T60">
        <v>1100</v>
      </c>
      <c r="U60">
        <v>31.664999999999999</v>
      </c>
      <c r="V60">
        <v>79.614000000000004</v>
      </c>
      <c r="W60">
        <v>53.969000000000001</v>
      </c>
      <c r="X60">
        <v>28.209</v>
      </c>
      <c r="Y60">
        <v>-50.484999999999999</v>
      </c>
      <c r="Z60">
        <v>12.846</v>
      </c>
      <c r="AA60">
        <v>-0.61</v>
      </c>
    </row>
    <row r="61" spans="2:27">
      <c r="B61">
        <v>4800</v>
      </c>
      <c r="C61">
        <v>21.68</v>
      </c>
      <c r="D61">
        <v>167.04</v>
      </c>
      <c r="E61">
        <v>134.77099999999999</v>
      </c>
      <c r="F61">
        <v>154.89099999999999</v>
      </c>
      <c r="G61">
        <v>0</v>
      </c>
      <c r="H61">
        <v>0</v>
      </c>
      <c r="I61">
        <v>0</v>
      </c>
      <c r="T61">
        <v>1200</v>
      </c>
      <c r="U61">
        <v>31.664999999999999</v>
      </c>
      <c r="V61">
        <v>82.369</v>
      </c>
      <c r="W61">
        <v>56.222000000000001</v>
      </c>
      <c r="X61">
        <v>31.376000000000001</v>
      </c>
      <c r="Y61">
        <v>-49.204999999999998</v>
      </c>
      <c r="Z61">
        <v>18.545999999999999</v>
      </c>
      <c r="AA61">
        <v>-0.80700000000000005</v>
      </c>
    </row>
    <row r="62" spans="2:27">
      <c r="B62">
        <v>5000</v>
      </c>
      <c r="C62">
        <v>21.81</v>
      </c>
      <c r="D62">
        <v>167.928</v>
      </c>
      <c r="E62">
        <v>136.08000000000001</v>
      </c>
      <c r="F62">
        <v>159.24</v>
      </c>
      <c r="G62">
        <v>0</v>
      </c>
      <c r="H62">
        <v>0</v>
      </c>
      <c r="I62">
        <v>0</v>
      </c>
      <c r="T62">
        <v>1300</v>
      </c>
      <c r="U62">
        <v>31.664999999999999</v>
      </c>
      <c r="V62">
        <v>84.903999999999996</v>
      </c>
      <c r="W62">
        <v>58.332000000000001</v>
      </c>
      <c r="X62">
        <v>34.542000000000002</v>
      </c>
      <c r="Y62">
        <v>-47.941000000000003</v>
      </c>
      <c r="Z62">
        <v>24.140999999999998</v>
      </c>
      <c r="AA62">
        <v>-0.97</v>
      </c>
    </row>
    <row r="63" spans="2:27">
      <c r="B63">
        <v>5200</v>
      </c>
      <c r="C63">
        <v>21.948</v>
      </c>
      <c r="D63">
        <v>168.786</v>
      </c>
      <c r="E63">
        <v>137.321</v>
      </c>
      <c r="F63">
        <v>163.61500000000001</v>
      </c>
      <c r="G63">
        <v>0</v>
      </c>
      <c r="H63">
        <v>0</v>
      </c>
      <c r="I63">
        <v>0</v>
      </c>
      <c r="T63">
        <v>1400</v>
      </c>
      <c r="U63">
        <v>31.664999999999999</v>
      </c>
      <c r="V63">
        <v>87.25</v>
      </c>
      <c r="W63">
        <v>60.314999999999998</v>
      </c>
      <c r="X63">
        <v>37.709000000000003</v>
      </c>
      <c r="Y63">
        <v>-46.692999999999998</v>
      </c>
      <c r="Z63">
        <v>29.638999999999999</v>
      </c>
      <c r="AA63">
        <v>-1.1060000000000001</v>
      </c>
    </row>
    <row r="64" spans="2:27">
      <c r="B64">
        <v>5400</v>
      </c>
      <c r="C64">
        <v>22.09</v>
      </c>
      <c r="D64">
        <v>169.61699999999999</v>
      </c>
      <c r="E64">
        <v>138.50200000000001</v>
      </c>
      <c r="F64">
        <v>168.01900000000001</v>
      </c>
      <c r="G64">
        <v>0</v>
      </c>
      <c r="H64">
        <v>0</v>
      </c>
      <c r="I64">
        <v>0</v>
      </c>
      <c r="T64">
        <v>1500</v>
      </c>
      <c r="U64">
        <v>31.664999999999999</v>
      </c>
      <c r="V64">
        <v>89.435000000000002</v>
      </c>
      <c r="W64">
        <v>62.185000000000002</v>
      </c>
      <c r="X64">
        <v>40.875</v>
      </c>
      <c r="Y64">
        <v>-45.46</v>
      </c>
      <c r="Z64">
        <v>35.048000000000002</v>
      </c>
      <c r="AA64">
        <v>-1.22</v>
      </c>
    </row>
    <row r="65" spans="2:9">
      <c r="B65">
        <v>5600</v>
      </c>
      <c r="C65">
        <v>22.236000000000001</v>
      </c>
      <c r="D65">
        <v>170.423</v>
      </c>
      <c r="E65">
        <v>139.62799999999999</v>
      </c>
      <c r="F65">
        <v>172.452</v>
      </c>
      <c r="G65">
        <v>0</v>
      </c>
      <c r="H65">
        <v>0</v>
      </c>
      <c r="I65">
        <v>0</v>
      </c>
    </row>
    <row r="66" spans="2:9">
      <c r="B66">
        <v>5800</v>
      </c>
      <c r="C66">
        <v>22.385000000000002</v>
      </c>
      <c r="D66">
        <v>171.20599999999999</v>
      </c>
      <c r="E66">
        <v>140.703</v>
      </c>
      <c r="F66">
        <v>176.91399999999999</v>
      </c>
      <c r="G66">
        <v>0</v>
      </c>
      <c r="H66">
        <v>0</v>
      </c>
      <c r="I66">
        <v>0</v>
      </c>
    </row>
    <row r="67" spans="2:9">
      <c r="B67">
        <v>6000</v>
      </c>
      <c r="C67">
        <v>22.538</v>
      </c>
      <c r="D67">
        <v>171.96700000000001</v>
      </c>
      <c r="E67">
        <v>141.733</v>
      </c>
      <c r="F67">
        <v>181.40600000000001</v>
      </c>
      <c r="G67">
        <v>0</v>
      </c>
      <c r="H67">
        <v>0</v>
      </c>
      <c r="I67"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2D24-F86C-4474-9CF1-70B890252FA9}">
  <dimension ref="B2:C42"/>
  <sheetViews>
    <sheetView workbookViewId="0"/>
  </sheetViews>
  <sheetFormatPr defaultRowHeight="12.75"/>
  <sheetData>
    <row r="2" spans="2:3">
      <c r="B2" t="s">
        <v>52</v>
      </c>
    </row>
    <row r="3" spans="2:3">
      <c r="C3" t="s">
        <v>47</v>
      </c>
    </row>
    <row r="4" spans="2:3">
      <c r="C4" t="s">
        <v>48</v>
      </c>
    </row>
    <row r="5" spans="2:3">
      <c r="C5" t="s">
        <v>49</v>
      </c>
    </row>
    <row r="6" spans="2:3">
      <c r="C6" t="s">
        <v>50</v>
      </c>
    </row>
    <row r="7" spans="2:3">
      <c r="C7" t="s">
        <v>51</v>
      </c>
    </row>
    <row r="9" spans="2:3">
      <c r="B9" s="25" t="s">
        <v>90</v>
      </c>
    </row>
    <row r="10" spans="2:3">
      <c r="B10" s="25" t="s">
        <v>91</v>
      </c>
    </row>
    <row r="11" spans="2:3">
      <c r="B11" s="25" t="s">
        <v>92</v>
      </c>
    </row>
    <row r="12" spans="2:3">
      <c r="B12" s="25" t="s">
        <v>93</v>
      </c>
    </row>
    <row r="13" spans="2:3">
      <c r="B13" s="25" t="s">
        <v>94</v>
      </c>
    </row>
    <row r="16" spans="2:3">
      <c r="B16" t="s">
        <v>110</v>
      </c>
    </row>
    <row r="17" spans="2:2">
      <c r="B17" t="s">
        <v>111</v>
      </c>
    </row>
    <row r="19" spans="2:2">
      <c r="B19" t="s">
        <v>112</v>
      </c>
    </row>
    <row r="20" spans="2:2">
      <c r="B20" t="s">
        <v>113</v>
      </c>
    </row>
    <row r="21" spans="2:2">
      <c r="B21" t="s">
        <v>114</v>
      </c>
    </row>
    <row r="22" spans="2:2">
      <c r="B22" t="s">
        <v>115</v>
      </c>
    </row>
    <row r="24" spans="2:2">
      <c r="B24" t="s">
        <v>116</v>
      </c>
    </row>
    <row r="25" spans="2:2">
      <c r="B25" t="s">
        <v>117</v>
      </c>
    </row>
    <row r="26" spans="2:2">
      <c r="B26" t="s">
        <v>118</v>
      </c>
    </row>
    <row r="27" spans="2:2">
      <c r="B27" t="s">
        <v>119</v>
      </c>
    </row>
    <row r="29" spans="2:2">
      <c r="B29" t="s">
        <v>120</v>
      </c>
    </row>
    <row r="30" spans="2:2">
      <c r="B30" t="s">
        <v>121</v>
      </c>
    </row>
    <row r="31" spans="2:2">
      <c r="B31" t="s">
        <v>122</v>
      </c>
    </row>
    <row r="32" spans="2:2">
      <c r="B32" t="s">
        <v>123</v>
      </c>
    </row>
    <row r="34" spans="2:2">
      <c r="B34" t="s">
        <v>124</v>
      </c>
    </row>
    <row r="35" spans="2:2">
      <c r="B35" t="s">
        <v>125</v>
      </c>
    </row>
    <row r="36" spans="2:2">
      <c r="B36" t="s">
        <v>126</v>
      </c>
    </row>
    <row r="37" spans="2:2">
      <c r="B37" t="s">
        <v>127</v>
      </c>
    </row>
    <row r="39" spans="2:2">
      <c r="B39" t="s">
        <v>128</v>
      </c>
    </row>
    <row r="40" spans="2:2">
      <c r="B40" t="s">
        <v>129</v>
      </c>
    </row>
    <row r="41" spans="2:2">
      <c r="B41" t="s">
        <v>130</v>
      </c>
    </row>
    <row r="42" spans="2:2">
      <c r="B42" t="s">
        <v>131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5"/>
  <sheetViews>
    <sheetView workbookViewId="0"/>
  </sheetViews>
  <sheetFormatPr defaultRowHeight="12.75"/>
  <cols>
    <col min="1" max="1" width="16.85546875" customWidth="1"/>
    <col min="2" max="2" width="25.85546875" bestFit="1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>
      <c r="A1" s="2"/>
      <c r="B1" s="2"/>
      <c r="C1" s="21" t="s">
        <v>11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0</v>
      </c>
      <c r="I1" s="18"/>
      <c r="J1" s="18"/>
      <c r="L1" t="s">
        <v>15</v>
      </c>
    </row>
    <row r="2" spans="1:22" ht="13.5" thickBot="1">
      <c r="A2" s="2" t="s">
        <v>10</v>
      </c>
      <c r="B2" s="18"/>
      <c r="C2" s="18"/>
      <c r="D2" s="33">
        <v>46.006</v>
      </c>
      <c r="E2" s="33">
        <v>240.1</v>
      </c>
      <c r="F2" s="33">
        <v>0</v>
      </c>
      <c r="G2" s="33">
        <v>33.1</v>
      </c>
      <c r="H2" s="33">
        <v>51.2</v>
      </c>
      <c r="I2" s="18"/>
      <c r="J2" s="18"/>
    </row>
    <row r="3" spans="1:22">
      <c r="A3" s="18"/>
      <c r="B3" s="18"/>
      <c r="C3" s="18"/>
      <c r="D3" s="18"/>
      <c r="E3" s="34">
        <f>E2/4.184</f>
        <v>57.385277246653914</v>
      </c>
      <c r="F3" s="34">
        <f>F2</f>
        <v>0</v>
      </c>
      <c r="G3" s="35">
        <f>G2/4.184*1000</f>
        <v>7911.089866156788</v>
      </c>
      <c r="H3" s="35">
        <f>H2/4.184*1000</f>
        <v>12237.093690248566</v>
      </c>
      <c r="I3" s="18"/>
      <c r="J3" s="18"/>
      <c r="L3" s="7" t="s">
        <v>16</v>
      </c>
      <c r="M3" s="7"/>
      <c r="U3" s="1"/>
      <c r="V3" s="1"/>
    </row>
    <row r="4" spans="1:22">
      <c r="A4" s="18"/>
      <c r="B4" s="18"/>
      <c r="C4" s="18"/>
      <c r="D4" s="18"/>
      <c r="E4" s="15" t="s">
        <v>0</v>
      </c>
      <c r="F4" s="15" t="s">
        <v>4</v>
      </c>
      <c r="G4" s="16" t="s">
        <v>2</v>
      </c>
      <c r="H4" s="16" t="s">
        <v>3</v>
      </c>
      <c r="I4" s="18"/>
      <c r="J4" s="18"/>
      <c r="L4" t="s">
        <v>17</v>
      </c>
      <c r="M4">
        <v>0.99999993853555857</v>
      </c>
    </row>
    <row r="5" spans="1:22">
      <c r="A5" s="18"/>
      <c r="B5" s="18"/>
      <c r="C5" s="18"/>
      <c r="D5" s="18"/>
      <c r="E5" s="36">
        <f>H3</f>
        <v>12237.093690248566</v>
      </c>
      <c r="F5" s="36">
        <f>G3</f>
        <v>7911.089866156788</v>
      </c>
      <c r="G5" s="37">
        <f>E3</f>
        <v>57.385277246653914</v>
      </c>
      <c r="H5" s="37">
        <f>F3</f>
        <v>0</v>
      </c>
      <c r="I5" s="18"/>
      <c r="J5" s="18"/>
      <c r="L5" t="s">
        <v>18</v>
      </c>
      <c r="M5">
        <v>0.99999987707112103</v>
      </c>
    </row>
    <row r="6" spans="1:22">
      <c r="A6" s="18"/>
      <c r="B6" s="18"/>
      <c r="C6" s="18"/>
      <c r="D6" s="18"/>
      <c r="E6" s="18"/>
      <c r="F6" s="18"/>
      <c r="G6" s="18"/>
      <c r="H6" s="18"/>
      <c r="I6" s="18"/>
      <c r="J6" s="18"/>
      <c r="L6" t="s">
        <v>19</v>
      </c>
      <c r="M6">
        <v>0.99999978487446173</v>
      </c>
    </row>
    <row r="7" spans="1:22">
      <c r="A7" s="18"/>
      <c r="B7" s="18"/>
      <c r="C7" s="21"/>
      <c r="D7" s="21" t="s">
        <v>5</v>
      </c>
      <c r="E7" s="21" t="s">
        <v>6</v>
      </c>
      <c r="F7" s="21" t="s">
        <v>7</v>
      </c>
      <c r="G7" s="21" t="s">
        <v>9</v>
      </c>
      <c r="H7" s="21" t="s">
        <v>8</v>
      </c>
      <c r="I7" s="18"/>
      <c r="J7" s="18"/>
      <c r="L7" t="s">
        <v>20</v>
      </c>
      <c r="M7">
        <v>2.5108101001979472E-3</v>
      </c>
    </row>
    <row r="8" spans="1:22" ht="13.5" thickBot="1">
      <c r="A8" s="18"/>
      <c r="B8" s="18"/>
      <c r="C8" s="21"/>
      <c r="D8" s="21">
        <v>1</v>
      </c>
      <c r="E8" s="21" t="s">
        <v>11</v>
      </c>
      <c r="F8" s="21" t="s">
        <v>12</v>
      </c>
      <c r="G8" s="21" t="s">
        <v>13</v>
      </c>
      <c r="H8" s="21" t="s">
        <v>14</v>
      </c>
      <c r="I8" s="18"/>
      <c r="J8" s="18"/>
      <c r="L8" s="5" t="s">
        <v>21</v>
      </c>
      <c r="M8" s="5">
        <v>8</v>
      </c>
    </row>
    <row r="9" spans="1:22">
      <c r="A9" s="18"/>
      <c r="B9" s="18"/>
      <c r="C9" s="18">
        <v>298.14999999999998</v>
      </c>
      <c r="D9" s="38">
        <v>101.8</v>
      </c>
      <c r="E9" s="38">
        <v>-1.1209999999999999E-2</v>
      </c>
      <c r="F9" s="38">
        <v>1218000</v>
      </c>
      <c r="G9" s="38">
        <v>-1300</v>
      </c>
      <c r="H9" s="38">
        <v>1.4610000000000001E-6</v>
      </c>
      <c r="I9" s="18"/>
      <c r="J9" s="18"/>
    </row>
    <row r="10" spans="1:22" ht="13.5" thickBot="1">
      <c r="A10" s="18"/>
      <c r="B10" s="18"/>
      <c r="C10" s="18">
        <v>400</v>
      </c>
      <c r="D10" s="39"/>
      <c r="E10" s="39"/>
      <c r="F10" s="39"/>
      <c r="G10" s="39"/>
      <c r="H10" s="39"/>
      <c r="I10" s="18"/>
      <c r="J10" s="18"/>
      <c r="L10" t="s">
        <v>22</v>
      </c>
    </row>
    <row r="11" spans="1:22">
      <c r="A11" s="18"/>
      <c r="B11" s="18"/>
      <c r="C11" s="18"/>
      <c r="D11" s="18"/>
      <c r="E11" s="18"/>
      <c r="F11" s="18"/>
      <c r="G11" s="18"/>
      <c r="H11" s="18"/>
      <c r="I11" s="18"/>
      <c r="J11" s="18"/>
      <c r="L11" s="6"/>
      <c r="M11" s="6" t="s">
        <v>27</v>
      </c>
      <c r="N11" s="6" t="s">
        <v>28</v>
      </c>
      <c r="O11" s="6" t="s">
        <v>29</v>
      </c>
      <c r="P11" s="6" t="s">
        <v>30</v>
      </c>
      <c r="Q11" s="6" t="s">
        <v>31</v>
      </c>
    </row>
    <row r="12" spans="1:22">
      <c r="A12" s="18"/>
      <c r="B12" s="18"/>
      <c r="C12" s="18"/>
      <c r="D12" s="21" t="s">
        <v>43</v>
      </c>
      <c r="E12" s="2" t="s">
        <v>44</v>
      </c>
      <c r="F12" s="2" t="s">
        <v>11</v>
      </c>
      <c r="G12" s="2" t="s">
        <v>12</v>
      </c>
      <c r="H12" s="2" t="s">
        <v>13</v>
      </c>
      <c r="I12" s="18"/>
      <c r="J12" s="18"/>
      <c r="L12" t="s">
        <v>23</v>
      </c>
      <c r="M12">
        <v>3</v>
      </c>
      <c r="N12">
        <v>205.13215895139112</v>
      </c>
      <c r="O12">
        <v>68.377386317130373</v>
      </c>
      <c r="P12">
        <v>10846378.66041675</v>
      </c>
      <c r="Q12">
        <v>2.8334078740793214E-14</v>
      </c>
    </row>
    <row r="13" spans="1:22">
      <c r="A13" s="18"/>
      <c r="B13" s="18"/>
      <c r="C13" s="18">
        <v>298.14999999999998</v>
      </c>
      <c r="D13" s="40">
        <f t="shared" ref="D13:D20" si="0">D$9+E$9*C13+F$9*C13^-2+G$9*C13^-0.5+H$9*C13^2</f>
        <v>37.001380874725015</v>
      </c>
      <c r="E13" s="40">
        <f t="shared" ref="E13" si="1">D13/4.184</f>
        <v>8.8435422740738563</v>
      </c>
      <c r="F13" s="18">
        <f t="shared" ref="F13:F20" si="2">C13</f>
        <v>298.14999999999998</v>
      </c>
      <c r="G13" s="18">
        <f t="shared" ref="G13:G20" si="3">C13^-2</f>
        <v>1.1249426244107095E-5</v>
      </c>
      <c r="H13" s="18">
        <f t="shared" ref="H13:H20" si="4">C13^-0.5</f>
        <v>5.791387083143839E-2</v>
      </c>
      <c r="I13" s="18"/>
      <c r="J13" s="18"/>
      <c r="L13" t="s">
        <v>24</v>
      </c>
      <c r="M13">
        <v>4</v>
      </c>
      <c r="N13">
        <v>2.5216669437024105E-5</v>
      </c>
      <c r="O13">
        <v>6.3041673592560263E-6</v>
      </c>
    </row>
    <row r="14" spans="1:22" ht="13.5" thickBot="1">
      <c r="A14" s="18"/>
      <c r="B14" s="18"/>
      <c r="C14" s="18">
        <v>300</v>
      </c>
      <c r="D14" s="40">
        <f t="shared" si="0"/>
        <v>37.04628833868199</v>
      </c>
      <c r="E14" s="40"/>
      <c r="F14" s="18">
        <f t="shared" si="2"/>
        <v>300</v>
      </c>
      <c r="G14" s="18">
        <f t="shared" si="3"/>
        <v>1.1111111111111112E-5</v>
      </c>
      <c r="H14" s="18">
        <f t="shared" si="4"/>
        <v>5.7735026918962568E-2</v>
      </c>
      <c r="I14" s="18"/>
      <c r="J14" s="18"/>
      <c r="L14" s="5" t="s">
        <v>25</v>
      </c>
      <c r="M14" s="5">
        <v>7</v>
      </c>
      <c r="N14" s="5">
        <v>205.13218416806055</v>
      </c>
      <c r="O14" s="5"/>
      <c r="P14" s="5"/>
      <c r="Q14" s="5"/>
    </row>
    <row r="15" spans="1:22" ht="13.5" thickBot="1">
      <c r="A15" s="18"/>
      <c r="B15" s="18"/>
      <c r="C15" s="18">
        <v>400</v>
      </c>
      <c r="D15" s="40">
        <f t="shared" si="0"/>
        <v>40.162259999999996</v>
      </c>
      <c r="E15" s="40"/>
      <c r="F15" s="18">
        <f t="shared" si="2"/>
        <v>400</v>
      </c>
      <c r="G15" s="18">
        <f t="shared" si="3"/>
        <v>6.2500000000000003E-6</v>
      </c>
      <c r="H15" s="18">
        <f t="shared" si="4"/>
        <v>0.05</v>
      </c>
      <c r="I15" s="18"/>
      <c r="J15" s="18"/>
    </row>
    <row r="16" spans="1:22">
      <c r="A16" s="18"/>
      <c r="B16" s="18"/>
      <c r="C16" s="18">
        <v>500</v>
      </c>
      <c r="D16" s="40">
        <f t="shared" si="0"/>
        <v>43.294482585005461</v>
      </c>
      <c r="E16" s="40"/>
      <c r="F16" s="18">
        <f t="shared" si="2"/>
        <v>500</v>
      </c>
      <c r="G16" s="18">
        <f t="shared" si="3"/>
        <v>3.9999999999999998E-6</v>
      </c>
      <c r="H16" s="18">
        <f t="shared" si="4"/>
        <v>4.4721359549995794E-2</v>
      </c>
      <c r="I16" s="18"/>
      <c r="J16" s="18"/>
      <c r="L16" s="6"/>
      <c r="M16" s="6" t="s">
        <v>32</v>
      </c>
      <c r="N16" s="6" t="s">
        <v>20</v>
      </c>
      <c r="O16" s="6" t="s">
        <v>33</v>
      </c>
      <c r="P16" s="6" t="s">
        <v>34</v>
      </c>
      <c r="Q16" s="6" t="s">
        <v>35</v>
      </c>
      <c r="R16" s="6" t="s">
        <v>36</v>
      </c>
      <c r="S16" s="6" t="s">
        <v>37</v>
      </c>
      <c r="T16" s="6" t="s">
        <v>38</v>
      </c>
    </row>
    <row r="17" spans="1:20">
      <c r="A17" s="18"/>
      <c r="B17" s="18"/>
      <c r="C17" s="18">
        <v>600</v>
      </c>
      <c r="D17" s="40">
        <f t="shared" si="0"/>
        <v>45.911015573031143</v>
      </c>
      <c r="E17" s="40"/>
      <c r="F17" s="18">
        <f t="shared" si="2"/>
        <v>600</v>
      </c>
      <c r="G17" s="18">
        <f t="shared" si="3"/>
        <v>2.7777777777777779E-6</v>
      </c>
      <c r="H17" s="18">
        <f t="shared" si="4"/>
        <v>4.0824829046386304E-2</v>
      </c>
      <c r="I17" s="18"/>
      <c r="J17" s="18"/>
      <c r="L17" t="s">
        <v>26</v>
      </c>
      <c r="M17">
        <v>97.707567701147198</v>
      </c>
      <c r="N17">
        <v>0.2229977269477329</v>
      </c>
      <c r="O17">
        <v>438.15499394775577</v>
      </c>
      <c r="P17">
        <v>1.6278901869844319E-10</v>
      </c>
      <c r="Q17">
        <v>97.088425471301576</v>
      </c>
      <c r="R17">
        <v>98.32670993099282</v>
      </c>
      <c r="S17">
        <v>97.088425471301576</v>
      </c>
      <c r="T17">
        <v>98.32670993099282</v>
      </c>
    </row>
    <row r="18" spans="1:20">
      <c r="A18" s="18"/>
      <c r="B18" s="18"/>
      <c r="C18" s="18">
        <v>700</v>
      </c>
      <c r="D18" s="40">
        <f t="shared" si="0"/>
        <v>48.019222794514747</v>
      </c>
      <c r="E18" s="40"/>
      <c r="F18" s="18">
        <f t="shared" si="2"/>
        <v>700</v>
      </c>
      <c r="G18" s="18">
        <f t="shared" si="3"/>
        <v>2.0408163265306121E-6</v>
      </c>
      <c r="H18" s="18">
        <f t="shared" si="4"/>
        <v>3.7796447300922721E-2</v>
      </c>
      <c r="I18" s="18"/>
      <c r="J18" s="18"/>
      <c r="L18" t="s">
        <v>39</v>
      </c>
      <c r="M18">
        <v>-7.694640749037248E-3</v>
      </c>
      <c r="N18">
        <v>9.4433881284310294E-5</v>
      </c>
      <c r="O18">
        <v>-81.481780102536916</v>
      </c>
      <c r="P18">
        <v>1.359794427501414E-7</v>
      </c>
      <c r="Q18">
        <v>-7.9568317795541132E-3</v>
      </c>
      <c r="R18">
        <v>-7.4324497185203828E-3</v>
      </c>
      <c r="S18">
        <v>-7.9568317795541132E-3</v>
      </c>
      <c r="T18">
        <v>-7.4324497185203828E-3</v>
      </c>
    </row>
    <row r="19" spans="1:20">
      <c r="A19" s="18"/>
      <c r="B19" s="18"/>
      <c r="C19" s="18">
        <v>800</v>
      </c>
      <c r="D19" s="40">
        <f t="shared" si="0"/>
        <v>49.708224222874406</v>
      </c>
      <c r="E19" s="40"/>
      <c r="F19" s="18">
        <f t="shared" si="2"/>
        <v>800</v>
      </c>
      <c r="G19" s="18">
        <f t="shared" si="3"/>
        <v>1.5625000000000001E-6</v>
      </c>
      <c r="H19" s="18">
        <f t="shared" si="4"/>
        <v>3.5355339059327376E-2</v>
      </c>
      <c r="I19" s="18"/>
      <c r="J19" s="18"/>
      <c r="L19" t="s">
        <v>40</v>
      </c>
      <c r="M19">
        <v>1165400.3799202153</v>
      </c>
      <c r="N19">
        <v>5540.587786979786</v>
      </c>
      <c r="O19">
        <v>210.33876273179374</v>
      </c>
      <c r="P19">
        <v>3.0648452545716055E-9</v>
      </c>
      <c r="Q19">
        <v>1150017.2102169201</v>
      </c>
      <c r="R19">
        <v>1180783.5496235106</v>
      </c>
      <c r="S19">
        <v>1150017.2102169201</v>
      </c>
      <c r="T19">
        <v>1180783.5496235106</v>
      </c>
    </row>
    <row r="20" spans="1:20" ht="13.5" thickBot="1">
      <c r="A20" s="18"/>
      <c r="B20" s="18"/>
      <c r="C20" s="18">
        <v>844</v>
      </c>
      <c r="D20" s="40">
        <f t="shared" si="0"/>
        <v>50.341504746257137</v>
      </c>
      <c r="E20" s="40"/>
      <c r="F20" s="18">
        <f t="shared" si="2"/>
        <v>844</v>
      </c>
      <c r="G20" s="18">
        <f t="shared" si="3"/>
        <v>1.40383189955302E-6</v>
      </c>
      <c r="H20" s="18">
        <f t="shared" si="4"/>
        <v>3.4421419541075714E-2</v>
      </c>
      <c r="I20" s="18"/>
      <c r="J20" s="18"/>
      <c r="L20" s="5" t="s">
        <v>41</v>
      </c>
      <c r="M20" s="5">
        <v>-1234.9817751175922</v>
      </c>
      <c r="N20" s="5">
        <v>4.4277504591784238</v>
      </c>
      <c r="O20" s="5">
        <v>-278.918558420012</v>
      </c>
      <c r="P20" s="5">
        <v>9.9129835824828004E-10</v>
      </c>
      <c r="Q20" s="5">
        <v>-1247.2752066696466</v>
      </c>
      <c r="R20" s="5">
        <v>-1222.6883435655377</v>
      </c>
      <c r="S20" s="5">
        <v>-1247.2752066696466</v>
      </c>
      <c r="T20" s="5">
        <v>-1222.6883435655377</v>
      </c>
    </row>
    <row r="21" spans="1:2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20">
      <c r="A22" s="18"/>
      <c r="B22" s="18"/>
      <c r="C22" s="18"/>
      <c r="D22" s="21" t="s">
        <v>5</v>
      </c>
      <c r="E22" s="21" t="s">
        <v>6</v>
      </c>
      <c r="F22" s="21" t="s">
        <v>7</v>
      </c>
      <c r="G22" s="21" t="s">
        <v>9</v>
      </c>
      <c r="H22" s="18"/>
      <c r="I22" s="18"/>
      <c r="J22" s="18"/>
    </row>
    <row r="23" spans="1:20">
      <c r="A23" s="18"/>
      <c r="B23" s="18"/>
      <c r="C23" s="18"/>
      <c r="D23" s="21">
        <v>1</v>
      </c>
      <c r="E23" s="21" t="s">
        <v>11</v>
      </c>
      <c r="F23" s="21" t="s">
        <v>12</v>
      </c>
      <c r="G23" s="21" t="s">
        <v>13</v>
      </c>
      <c r="H23" s="18"/>
      <c r="I23" s="18"/>
      <c r="J23" s="18"/>
    </row>
    <row r="24" spans="1:20">
      <c r="A24" s="2" t="s">
        <v>42</v>
      </c>
      <c r="B24" s="18"/>
      <c r="C24" s="18"/>
      <c r="D24" s="18">
        <f>M17</f>
        <v>97.707567701147198</v>
      </c>
      <c r="E24" s="18">
        <f>M18</f>
        <v>-7.694640749037248E-3</v>
      </c>
      <c r="F24" s="18">
        <f>+M19</f>
        <v>1165400.3799202153</v>
      </c>
      <c r="G24" s="18">
        <f>M20</f>
        <v>-1234.9817751175922</v>
      </c>
      <c r="H24" s="18"/>
      <c r="I24" s="18"/>
      <c r="J24" s="18"/>
    </row>
    <row r="25" spans="1:20">
      <c r="A25" s="2" t="s">
        <v>45</v>
      </c>
      <c r="B25" s="18"/>
      <c r="C25" s="18">
        <v>298.14999999999998</v>
      </c>
      <c r="D25" s="41">
        <f>D24/4.184</f>
        <v>23.352669144633651</v>
      </c>
      <c r="E25" s="41">
        <f>E24/4.184*1000</f>
        <v>-1.8390632765385393</v>
      </c>
      <c r="F25" s="41">
        <f>F24/4.184/100000</f>
        <v>2.7853737569794821</v>
      </c>
      <c r="G25" s="41">
        <f>G24/4.184</f>
        <v>-295.16772827858318</v>
      </c>
      <c r="H25" s="18"/>
      <c r="I25" s="18"/>
      <c r="J25" s="18"/>
    </row>
    <row r="26" spans="1:20">
      <c r="A26" s="18"/>
      <c r="B26" s="18"/>
      <c r="C26" s="18">
        <v>300</v>
      </c>
      <c r="D26" s="18"/>
      <c r="E26" s="18"/>
      <c r="F26" s="18"/>
      <c r="G26" s="18"/>
      <c r="H26" s="18"/>
      <c r="I26" s="18"/>
      <c r="J26" s="18"/>
    </row>
    <row r="27" spans="1:20">
      <c r="A27" s="18"/>
      <c r="B27" s="18"/>
      <c r="C27" s="18">
        <v>400</v>
      </c>
      <c r="D27" s="18"/>
      <c r="E27" s="18"/>
      <c r="F27" s="18"/>
      <c r="G27" s="18"/>
      <c r="H27" s="18"/>
      <c r="I27" s="18"/>
      <c r="J27" s="18"/>
    </row>
    <row r="28" spans="1:20">
      <c r="A28" s="18"/>
      <c r="B28" s="18"/>
      <c r="C28" s="18">
        <v>500</v>
      </c>
      <c r="D28" s="18"/>
      <c r="E28" s="18"/>
      <c r="F28" s="18"/>
      <c r="G28" s="18"/>
      <c r="H28" s="18"/>
      <c r="I28" s="18"/>
      <c r="J28" s="18"/>
    </row>
    <row r="29" spans="1:20">
      <c r="A29" s="18"/>
      <c r="B29" s="18"/>
      <c r="C29" s="18">
        <v>600</v>
      </c>
      <c r="D29" s="18"/>
      <c r="E29" s="18"/>
      <c r="F29" s="18"/>
      <c r="G29" s="18"/>
      <c r="H29" s="18"/>
      <c r="I29" s="18"/>
      <c r="J29" s="18"/>
    </row>
    <row r="30" spans="1:20">
      <c r="A30" s="18"/>
      <c r="B30" s="18"/>
      <c r="C30" s="18">
        <v>700</v>
      </c>
      <c r="D30" s="18"/>
      <c r="E30" s="18"/>
      <c r="F30" s="18"/>
      <c r="G30" s="18"/>
      <c r="H30" s="18"/>
      <c r="I30" s="18"/>
      <c r="J30" s="18"/>
    </row>
    <row r="31" spans="1:20">
      <c r="A31" s="18"/>
      <c r="B31" s="18"/>
      <c r="C31" s="18">
        <v>800</v>
      </c>
      <c r="D31" s="18"/>
      <c r="E31" s="18"/>
      <c r="F31" s="18"/>
      <c r="G31" s="18"/>
      <c r="H31" s="18"/>
      <c r="I31" s="18"/>
      <c r="J31" s="18"/>
    </row>
    <row r="32" spans="1:20">
      <c r="A32" s="18"/>
      <c r="B32" s="18"/>
      <c r="C32" s="18">
        <v>844</v>
      </c>
      <c r="D32" s="18"/>
      <c r="E32" s="18"/>
      <c r="F32" s="18"/>
      <c r="G32" s="18"/>
      <c r="H32" s="18"/>
      <c r="I32" s="18"/>
      <c r="J32" s="18"/>
    </row>
    <row r="33" spans="1:10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>
      <c r="A34" s="2" t="s">
        <v>138</v>
      </c>
      <c r="B34" s="18"/>
      <c r="C34" s="18"/>
      <c r="D34" s="18"/>
      <c r="E34" s="18"/>
      <c r="F34" s="2" t="s">
        <v>83</v>
      </c>
      <c r="G34" s="18"/>
      <c r="H34" s="18"/>
      <c r="I34" s="2" t="s">
        <v>142</v>
      </c>
      <c r="J34" s="18"/>
    </row>
    <row r="35" spans="1:10">
      <c r="B35" s="2"/>
      <c r="C35" s="2"/>
      <c r="E35" s="2"/>
      <c r="F35" s="2" t="s">
        <v>65</v>
      </c>
      <c r="G35" s="2" t="s">
        <v>66</v>
      </c>
      <c r="I35" s="2" t="s">
        <v>65</v>
      </c>
      <c r="J35" s="2" t="s">
        <v>66</v>
      </c>
    </row>
    <row r="36" spans="1:10">
      <c r="A36" t="s">
        <v>139</v>
      </c>
      <c r="C36" t="s">
        <v>66</v>
      </c>
      <c r="D36" s="2" t="s">
        <v>0</v>
      </c>
      <c r="G36">
        <v>-204660.3</v>
      </c>
      <c r="J36" t="s">
        <v>145</v>
      </c>
    </row>
    <row r="37" spans="1:10">
      <c r="A37" s="25" t="s">
        <v>139</v>
      </c>
      <c r="B37" s="25"/>
      <c r="C37" s="25" t="s">
        <v>66</v>
      </c>
      <c r="D37" s="2" t="s">
        <v>4</v>
      </c>
      <c r="E37" s="25"/>
      <c r="G37" s="25">
        <v>-217667.3</v>
      </c>
      <c r="J37" s="25">
        <v>0</v>
      </c>
    </row>
    <row r="38" spans="1:10">
      <c r="A38" t="s">
        <v>139</v>
      </c>
      <c r="B38" t="s">
        <v>89</v>
      </c>
      <c r="C38" t="s">
        <v>66</v>
      </c>
      <c r="D38" s="2" t="s">
        <v>2</v>
      </c>
      <c r="G38">
        <v>9.9019999999999992</v>
      </c>
      <c r="J38" s="29">
        <v>7.66</v>
      </c>
    </row>
    <row r="39" spans="1:10">
      <c r="B39" t="s">
        <v>155</v>
      </c>
      <c r="C39" t="s">
        <v>141</v>
      </c>
      <c r="D39" s="2"/>
      <c r="E39" s="2" t="s">
        <v>77</v>
      </c>
      <c r="F39">
        <v>18.809999999999999</v>
      </c>
      <c r="H39" s="2" t="s">
        <v>143</v>
      </c>
      <c r="I39" s="29">
        <v>32.049999999999997</v>
      </c>
    </row>
    <row r="40" spans="1:10">
      <c r="B40" t="s">
        <v>155</v>
      </c>
      <c r="C40" t="s">
        <v>141</v>
      </c>
      <c r="D40" s="2"/>
      <c r="E40" s="2" t="s">
        <v>78</v>
      </c>
      <c r="F40" s="25">
        <v>205.15</v>
      </c>
      <c r="I40" s="25"/>
    </row>
    <row r="41" spans="1:10">
      <c r="C41" t="s">
        <v>141</v>
      </c>
      <c r="D41" s="2" t="s">
        <v>79</v>
      </c>
      <c r="F41" s="26">
        <f>F39+F40</f>
        <v>223.96</v>
      </c>
      <c r="I41" s="30">
        <f>I39+I40</f>
        <v>32.049999999999997</v>
      </c>
    </row>
    <row r="42" spans="1:10">
      <c r="C42" t="s">
        <v>66</v>
      </c>
      <c r="D42" s="22" t="s">
        <v>80</v>
      </c>
      <c r="G42" s="26">
        <f>F41/4.184</f>
        <v>53.527724665391972</v>
      </c>
      <c r="J42" s="26">
        <f>I41/4.184</f>
        <v>7.6601338432122361</v>
      </c>
    </row>
    <row r="43" spans="1:10">
      <c r="B43" s="18" t="s">
        <v>156</v>
      </c>
      <c r="C43" t="s">
        <v>66</v>
      </c>
      <c r="D43" s="2" t="s">
        <v>88</v>
      </c>
      <c r="G43" s="26">
        <f>G38-G42</f>
        <v>-43.625724665391971</v>
      </c>
      <c r="J43" s="26">
        <f>J38-J42</f>
        <v>-1.338432122359734E-4</v>
      </c>
    </row>
    <row r="44" spans="1:10">
      <c r="D44" s="2" t="s">
        <v>81</v>
      </c>
      <c r="G44" s="26">
        <f>G43*298.15</f>
        <v>-13007.009808986615</v>
      </c>
      <c r="J44" s="26">
        <f>J43*298.15</f>
        <v>-3.9905353728155464E-2</v>
      </c>
    </row>
    <row r="45" spans="1:10">
      <c r="A45" t="s">
        <v>140</v>
      </c>
      <c r="B45" t="s">
        <v>154</v>
      </c>
      <c r="C45" t="s">
        <v>66</v>
      </c>
      <c r="D45" s="2" t="s">
        <v>82</v>
      </c>
      <c r="G45" s="26">
        <f>G37-G44</f>
        <v>-204660.29019101337</v>
      </c>
      <c r="J45" s="26">
        <f>J37-J44</f>
        <v>3.9905353728155464E-2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7C67-A05E-4563-9B98-15B838F37F14}">
  <dimension ref="B1:N18"/>
  <sheetViews>
    <sheetView workbookViewId="0">
      <selection activeCell="L15" sqref="L15"/>
    </sheetView>
  </sheetViews>
  <sheetFormatPr defaultRowHeight="12.75"/>
  <cols>
    <col min="3" max="3" width="8.85546875" bestFit="1" customWidth="1"/>
    <col min="4" max="4" width="10.28515625" bestFit="1" customWidth="1"/>
    <col min="5" max="5" width="9.85546875" bestFit="1" customWidth="1"/>
    <col min="6" max="6" width="10.140625" bestFit="1" customWidth="1"/>
    <col min="7" max="7" width="10.28515625" bestFit="1" customWidth="1"/>
    <col min="8" max="9" width="9.140625" customWidth="1"/>
    <col min="10" max="10" width="10.140625" bestFit="1" customWidth="1"/>
    <col min="11" max="11" width="8.85546875" bestFit="1" customWidth="1"/>
    <col min="12" max="12" width="11.5703125" bestFit="1" customWidth="1"/>
  </cols>
  <sheetData>
    <row r="1" spans="2:14">
      <c r="G1" s="18" t="s">
        <v>53</v>
      </c>
      <c r="H1" s="18" t="s">
        <v>53</v>
      </c>
      <c r="I1" s="18"/>
    </row>
    <row r="2" spans="2:14">
      <c r="C2" t="s">
        <v>53</v>
      </c>
      <c r="D2" t="s">
        <v>53</v>
      </c>
      <c r="E2" t="s">
        <v>53</v>
      </c>
      <c r="F2" t="s">
        <v>54</v>
      </c>
      <c r="G2" s="18" t="s">
        <v>70</v>
      </c>
      <c r="H2" s="18" t="s">
        <v>71</v>
      </c>
      <c r="I2" s="18"/>
      <c r="K2" t="s">
        <v>54</v>
      </c>
      <c r="L2" t="s">
        <v>53</v>
      </c>
    </row>
    <row r="3" spans="2:14">
      <c r="B3" t="s">
        <v>46</v>
      </c>
      <c r="C3" s="19" t="s">
        <v>55</v>
      </c>
      <c r="D3" s="19" t="s">
        <v>56</v>
      </c>
      <c r="E3" s="19" t="s">
        <v>58</v>
      </c>
      <c r="F3" s="18" t="s">
        <v>57</v>
      </c>
      <c r="G3" s="18" t="s">
        <v>69</v>
      </c>
      <c r="H3" s="18" t="s">
        <v>69</v>
      </c>
      <c r="J3" t="s">
        <v>46</v>
      </c>
      <c r="K3" t="s">
        <v>57</v>
      </c>
      <c r="L3" s="19" t="s">
        <v>55</v>
      </c>
    </row>
    <row r="4" spans="2:14">
      <c r="B4">
        <v>25</v>
      </c>
      <c r="C4" s="19">
        <v>5.9329999999999998</v>
      </c>
      <c r="D4" s="19">
        <v>5.8730000000000002</v>
      </c>
      <c r="E4" s="19">
        <v>5.8609999999999998</v>
      </c>
      <c r="F4">
        <v>5.8040000000000003</v>
      </c>
      <c r="G4" s="18">
        <f t="shared" ref="G4" si="0">D4-E4</f>
        <v>1.2000000000000455E-2</v>
      </c>
      <c r="H4" s="18">
        <f>C4-E4</f>
        <v>7.2000000000000064E-2</v>
      </c>
      <c r="I4" s="18"/>
      <c r="J4">
        <v>25</v>
      </c>
      <c r="K4">
        <v>5.8040000000000003</v>
      </c>
      <c r="L4" s="19">
        <v>5.9329999999999998</v>
      </c>
    </row>
    <row r="5" spans="2:14">
      <c r="B5">
        <v>100</v>
      </c>
      <c r="C5" s="19">
        <v>5.1219999999999999</v>
      </c>
      <c r="D5" s="19">
        <v>5.1120000000000001</v>
      </c>
      <c r="E5" s="19">
        <v>5.1130000000000004</v>
      </c>
      <c r="F5">
        <v>5.0529999999999999</v>
      </c>
      <c r="G5" s="18">
        <f>D5-E5</f>
        <v>-1.000000000000334E-3</v>
      </c>
      <c r="H5" s="18">
        <f t="shared" ref="H5:H16" si="1">C5-E5</f>
        <v>8.9999999999994529E-3</v>
      </c>
      <c r="I5" s="18"/>
      <c r="J5">
        <v>100</v>
      </c>
      <c r="K5">
        <v>5.0529999999999999</v>
      </c>
      <c r="L5" s="19">
        <v>5.1219999999999999</v>
      </c>
      <c r="N5" s="18" t="s">
        <v>68</v>
      </c>
    </row>
    <row r="6" spans="2:14">
      <c r="B6">
        <v>200</v>
      </c>
      <c r="C6" s="19">
        <v>4.375</v>
      </c>
      <c r="D6" s="19">
        <v>4.4279999999999999</v>
      </c>
      <c r="E6" s="19">
        <v>4.4420000000000002</v>
      </c>
      <c r="F6">
        <v>4.3479999999999999</v>
      </c>
      <c r="G6" s="18">
        <f t="shared" ref="G6:G16" si="2">D6-E6</f>
        <v>-1.4000000000000234E-2</v>
      </c>
      <c r="H6" s="18">
        <f t="shared" si="1"/>
        <v>-6.7000000000000171E-2</v>
      </c>
      <c r="I6" s="18"/>
      <c r="J6">
        <v>200</v>
      </c>
      <c r="K6">
        <v>4.3479999999999999</v>
      </c>
      <c r="L6" s="19">
        <v>4.375</v>
      </c>
    </row>
    <row r="7" spans="2:14">
      <c r="B7">
        <v>300</v>
      </c>
      <c r="C7" s="19">
        <v>3.827</v>
      </c>
      <c r="D7" s="19">
        <v>3.95</v>
      </c>
      <c r="E7" s="19">
        <v>3.9729999999999999</v>
      </c>
      <c r="F7">
        <v>3.8359999999999999</v>
      </c>
      <c r="G7" s="18">
        <f t="shared" si="2"/>
        <v>-2.2999999999999687E-2</v>
      </c>
      <c r="H7" s="18">
        <f t="shared" si="1"/>
        <v>-0.14599999999999991</v>
      </c>
      <c r="I7" s="18"/>
      <c r="J7">
        <v>300</v>
      </c>
      <c r="K7">
        <v>3.8359999999999999</v>
      </c>
      <c r="L7" s="19">
        <v>3.827</v>
      </c>
    </row>
    <row r="8" spans="2:14">
      <c r="B8">
        <v>400</v>
      </c>
      <c r="C8" s="19">
        <v>3.4089999999999998</v>
      </c>
      <c r="D8" s="19">
        <v>3.5939999999999999</v>
      </c>
      <c r="E8" s="19">
        <v>3.6240000000000001</v>
      </c>
      <c r="F8">
        <v>3.4390000000000001</v>
      </c>
      <c r="G8" s="18">
        <f t="shared" si="2"/>
        <v>-3.0000000000000249E-2</v>
      </c>
      <c r="H8" s="18">
        <f t="shared" si="1"/>
        <v>-0.2150000000000003</v>
      </c>
      <c r="I8" s="18"/>
      <c r="J8">
        <v>400</v>
      </c>
      <c r="K8">
        <v>3.4390000000000001</v>
      </c>
      <c r="L8" s="19">
        <v>3.4089999999999998</v>
      </c>
    </row>
    <row r="9" spans="2:14">
      <c r="B9">
        <v>500</v>
      </c>
      <c r="C9" s="19">
        <v>3.077</v>
      </c>
      <c r="D9" s="19">
        <v>3.3149999999999999</v>
      </c>
      <c r="E9" s="19">
        <v>3.3519999999999999</v>
      </c>
      <c r="F9">
        <v>3.1190000000000002</v>
      </c>
      <c r="G9" s="18">
        <f t="shared" si="2"/>
        <v>-3.6999999999999922E-2</v>
      </c>
      <c r="H9" s="18">
        <f t="shared" si="1"/>
        <v>-0.27499999999999991</v>
      </c>
      <c r="I9" s="18"/>
      <c r="J9">
        <v>500</v>
      </c>
      <c r="K9">
        <v>3.1190000000000002</v>
      </c>
      <c r="L9" s="19">
        <v>3.077</v>
      </c>
    </row>
    <row r="10" spans="2:14">
      <c r="B10">
        <v>600</v>
      </c>
      <c r="C10" s="19">
        <v>2.806</v>
      </c>
      <c r="D10" s="19">
        <v>3.09</v>
      </c>
      <c r="E10" s="19">
        <v>3.1320000000000001</v>
      </c>
      <c r="F10">
        <v>2.8530000000000002</v>
      </c>
      <c r="G10" s="18">
        <f t="shared" si="2"/>
        <v>-4.2000000000000259E-2</v>
      </c>
      <c r="H10" s="18">
        <f t="shared" si="1"/>
        <v>-0.32600000000000007</v>
      </c>
      <c r="I10" s="18"/>
      <c r="J10">
        <v>600</v>
      </c>
      <c r="K10">
        <v>2.8530000000000002</v>
      </c>
      <c r="L10" s="19">
        <v>2.806</v>
      </c>
    </row>
    <row r="11" spans="2:14">
      <c r="B11">
        <v>700</v>
      </c>
      <c r="C11" s="19">
        <v>2.5779999999999998</v>
      </c>
      <c r="D11" s="19">
        <v>2.9039999999999999</v>
      </c>
      <c r="E11" s="19">
        <v>2.9510000000000001</v>
      </c>
      <c r="F11">
        <v>2.6269999999999998</v>
      </c>
      <c r="G11" s="18">
        <f t="shared" si="2"/>
        <v>-4.7000000000000153E-2</v>
      </c>
      <c r="H11" s="18">
        <f t="shared" si="1"/>
        <v>-0.37300000000000022</v>
      </c>
      <c r="I11" s="18"/>
      <c r="J11">
        <v>700</v>
      </c>
      <c r="K11">
        <v>2.6269999999999998</v>
      </c>
      <c r="L11" s="19">
        <v>2.5779999999999998</v>
      </c>
    </row>
    <row r="12" spans="2:14">
      <c r="B12">
        <v>800</v>
      </c>
      <c r="C12" s="19">
        <v>2.383</v>
      </c>
      <c r="D12" s="19">
        <v>2.7469999999999999</v>
      </c>
      <c r="E12" s="19">
        <v>2.798</v>
      </c>
      <c r="F12">
        <v>2.4319999999999999</v>
      </c>
      <c r="G12" s="18">
        <f t="shared" si="2"/>
        <v>-5.1000000000000156E-2</v>
      </c>
      <c r="H12" s="18">
        <f t="shared" si="1"/>
        <v>-0.41500000000000004</v>
      </c>
      <c r="I12" s="18"/>
      <c r="J12">
        <v>800</v>
      </c>
      <c r="K12">
        <v>2.4319999999999999</v>
      </c>
      <c r="L12" s="19">
        <v>2.383</v>
      </c>
    </row>
    <row r="13" spans="2:14">
      <c r="B13">
        <v>900</v>
      </c>
      <c r="C13" s="19">
        <v>2.2149999999999999</v>
      </c>
      <c r="D13" s="19">
        <v>2.613</v>
      </c>
      <c r="E13" s="19">
        <v>2.6680000000000001</v>
      </c>
      <c r="F13">
        <v>2.2610000000000001</v>
      </c>
      <c r="G13" s="18">
        <f t="shared" si="2"/>
        <v>-5.500000000000016E-2</v>
      </c>
      <c r="H13" s="18">
        <f t="shared" si="1"/>
        <v>-0.45300000000000029</v>
      </c>
      <c r="I13" s="18"/>
      <c r="J13">
        <v>900</v>
      </c>
      <c r="K13">
        <v>2.2610000000000001</v>
      </c>
      <c r="L13" s="19">
        <v>2.2149999999999999</v>
      </c>
    </row>
    <row r="14" spans="2:14">
      <c r="B14">
        <v>1000</v>
      </c>
      <c r="C14" s="19">
        <v>2.0670000000000002</v>
      </c>
      <c r="D14" s="19">
        <v>2.4969999999999999</v>
      </c>
      <c r="E14" s="19">
        <v>2.5550000000000002</v>
      </c>
      <c r="F14">
        <v>2.11</v>
      </c>
      <c r="G14" s="18">
        <f t="shared" si="2"/>
        <v>-5.8000000000000274E-2</v>
      </c>
      <c r="H14" s="18">
        <f t="shared" si="1"/>
        <v>-0.48799999999999999</v>
      </c>
      <c r="I14" s="18"/>
      <c r="J14">
        <v>1000</v>
      </c>
      <c r="K14">
        <v>2.11</v>
      </c>
      <c r="L14" s="19">
        <v>2.0670000000000002</v>
      </c>
    </row>
    <row r="15" spans="2:14">
      <c r="B15">
        <v>1100</v>
      </c>
      <c r="C15" s="19">
        <v>1.9359999999999999</v>
      </c>
      <c r="D15" s="19">
        <v>2.395</v>
      </c>
      <c r="E15" s="19">
        <v>2.456</v>
      </c>
      <c r="F15">
        <v>1.9750000000000001</v>
      </c>
      <c r="G15" s="18">
        <f t="shared" si="2"/>
        <v>-6.0999999999999943E-2</v>
      </c>
      <c r="H15" s="18">
        <f t="shared" si="1"/>
        <v>-0.52</v>
      </c>
      <c r="I15" s="18"/>
      <c r="J15">
        <v>1100</v>
      </c>
      <c r="K15">
        <v>1.9750000000000001</v>
      </c>
      <c r="L15" s="19">
        <v>1.9359999999999999</v>
      </c>
    </row>
    <row r="16" spans="2:14">
      <c r="B16">
        <v>1200</v>
      </c>
      <c r="C16" s="19">
        <v>1.819</v>
      </c>
      <c r="D16" s="19">
        <v>2.3050000000000002</v>
      </c>
      <c r="E16" s="19">
        <v>2.3690000000000002</v>
      </c>
      <c r="F16">
        <v>1.8540000000000001</v>
      </c>
      <c r="G16" s="18">
        <f t="shared" si="2"/>
        <v>-6.4000000000000057E-2</v>
      </c>
      <c r="H16" s="18">
        <f t="shared" si="1"/>
        <v>-0.55000000000000027</v>
      </c>
      <c r="I16" s="18"/>
      <c r="J16">
        <v>1200</v>
      </c>
      <c r="K16">
        <v>1.8540000000000001</v>
      </c>
      <c r="L16" s="19">
        <v>1.819</v>
      </c>
    </row>
    <row r="17" spans="5:9">
      <c r="E17" s="19"/>
      <c r="F17" s="19"/>
      <c r="G17" s="19"/>
      <c r="H17" s="19"/>
      <c r="I17" s="19"/>
    </row>
    <row r="18" spans="5:9">
      <c r="E18" s="19"/>
      <c r="F18" s="19"/>
      <c r="G18" s="19"/>
      <c r="H18" s="19"/>
      <c r="I18" s="1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4172-A016-4E74-86BC-62BE65256D3D}">
  <dimension ref="A1:O28"/>
  <sheetViews>
    <sheetView workbookViewId="0"/>
  </sheetViews>
  <sheetFormatPr defaultRowHeight="12.75"/>
  <cols>
    <col min="1" max="1" width="12.42578125" bestFit="1" customWidth="1"/>
    <col min="2" max="2" width="10.85546875" bestFit="1" customWidth="1"/>
    <col min="5" max="5" width="12.28515625" bestFit="1" customWidth="1"/>
    <col min="6" max="6" width="12" bestFit="1" customWidth="1"/>
    <col min="7" max="7" width="12.5703125" bestFit="1" customWidth="1"/>
    <col min="9" max="9" width="12.28515625" bestFit="1" customWidth="1"/>
    <col min="10" max="10" width="12" bestFit="1" customWidth="1"/>
    <col min="11" max="11" width="12.5703125" bestFit="1" customWidth="1"/>
    <col min="13" max="13" width="12.42578125" bestFit="1" customWidth="1"/>
  </cols>
  <sheetData>
    <row r="1" spans="1:15">
      <c r="A1" s="2" t="s">
        <v>183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2" t="s">
        <v>83</v>
      </c>
      <c r="B2" s="2" t="s">
        <v>65</v>
      </c>
      <c r="C2" s="2" t="s">
        <v>66</v>
      </c>
      <c r="D2" s="18"/>
      <c r="E2" s="2" t="s">
        <v>85</v>
      </c>
      <c r="F2" s="2" t="s">
        <v>65</v>
      </c>
      <c r="G2" s="2" t="s">
        <v>66</v>
      </c>
      <c r="H2" s="18"/>
      <c r="I2" s="2" t="s">
        <v>84</v>
      </c>
      <c r="J2" s="2" t="s">
        <v>65</v>
      </c>
      <c r="K2" s="2" t="s">
        <v>66</v>
      </c>
      <c r="L2" s="18"/>
      <c r="M2" s="2" t="s">
        <v>86</v>
      </c>
      <c r="N2" s="2" t="s">
        <v>65</v>
      </c>
      <c r="O2" s="2" t="s">
        <v>66</v>
      </c>
    </row>
    <row r="3" spans="1:15" ht="15">
      <c r="A3" s="2" t="s">
        <v>74</v>
      </c>
      <c r="B3" s="18"/>
      <c r="C3" s="43">
        <v>-204660.3</v>
      </c>
      <c r="D3" s="18"/>
      <c r="E3" s="2" t="s">
        <v>74</v>
      </c>
      <c r="F3" s="18">
        <v>0</v>
      </c>
      <c r="G3" s="44">
        <f t="shared" ref="G3:G5" si="0">F3/4.184</f>
        <v>0</v>
      </c>
      <c r="H3" s="18"/>
      <c r="I3" s="2" t="s">
        <v>74</v>
      </c>
      <c r="J3" s="18">
        <v>70</v>
      </c>
      <c r="K3" s="44">
        <f t="shared" ref="K3:K6" si="1">J3/4.184</f>
        <v>16.730401529636712</v>
      </c>
      <c r="L3" s="18"/>
      <c r="M3" s="2" t="s">
        <v>74</v>
      </c>
      <c r="N3" s="18">
        <v>432</v>
      </c>
      <c r="O3" s="45">
        <f>N3/4.184</f>
        <v>103.25047801147227</v>
      </c>
    </row>
    <row r="4" spans="1:15">
      <c r="A4" s="2" t="s">
        <v>75</v>
      </c>
      <c r="B4" s="18"/>
      <c r="C4" s="46">
        <v>-217667.3</v>
      </c>
      <c r="D4" s="18"/>
      <c r="E4" s="2" t="s">
        <v>75</v>
      </c>
      <c r="F4" s="18">
        <v>0</v>
      </c>
      <c r="G4" s="18">
        <f t="shared" si="0"/>
        <v>0</v>
      </c>
      <c r="H4" s="18"/>
      <c r="I4" s="2" t="s">
        <v>75</v>
      </c>
      <c r="J4" s="18">
        <v>360</v>
      </c>
      <c r="K4" s="18">
        <f t="shared" si="1"/>
        <v>86.042065009560233</v>
      </c>
      <c r="L4" s="18"/>
      <c r="M4" s="2" t="s">
        <v>75</v>
      </c>
      <c r="N4" s="18">
        <v>1854</v>
      </c>
      <c r="O4" s="18">
        <f t="shared" ref="O4:O5" si="2">N4/4.184</f>
        <v>443.11663479923516</v>
      </c>
    </row>
    <row r="5" spans="1:15">
      <c r="A5" s="2" t="s">
        <v>2</v>
      </c>
      <c r="B5" s="18"/>
      <c r="C5" s="18">
        <v>9.9019999999999992</v>
      </c>
      <c r="D5" s="18"/>
      <c r="E5" s="2" t="s">
        <v>180</v>
      </c>
      <c r="F5" s="18">
        <v>32.055999999999997</v>
      </c>
      <c r="G5" s="18">
        <f t="shared" si="0"/>
        <v>7.6615678776290626</v>
      </c>
      <c r="H5" s="18"/>
      <c r="I5" s="2" t="s">
        <v>181</v>
      </c>
      <c r="J5" s="18">
        <v>33.027999999999999</v>
      </c>
      <c r="K5" s="18">
        <f t="shared" si="1"/>
        <v>7.8938814531548749</v>
      </c>
      <c r="L5" s="18"/>
      <c r="M5" s="2" t="s">
        <v>2</v>
      </c>
      <c r="N5" s="18">
        <v>36.825000000000003</v>
      </c>
      <c r="O5" s="18">
        <f t="shared" si="2"/>
        <v>8.8013862332695982</v>
      </c>
    </row>
    <row r="6" spans="1:15">
      <c r="A6" s="2" t="s">
        <v>77</v>
      </c>
      <c r="B6" s="18">
        <v>18.809999999999999</v>
      </c>
      <c r="C6" s="18"/>
      <c r="D6" s="18"/>
      <c r="E6" s="2" t="s">
        <v>179</v>
      </c>
      <c r="F6" s="18">
        <v>32.055999999999997</v>
      </c>
      <c r="G6" s="18">
        <f>F6/4.184</f>
        <v>7.6615678776290626</v>
      </c>
      <c r="H6" s="18"/>
      <c r="I6" s="2" t="s">
        <v>179</v>
      </c>
      <c r="J6" s="18">
        <v>32.055999999999997</v>
      </c>
      <c r="K6" s="18">
        <f t="shared" si="1"/>
        <v>7.6615678776290626</v>
      </c>
      <c r="L6" s="18"/>
      <c r="M6" s="2" t="s">
        <v>76</v>
      </c>
      <c r="N6" s="18">
        <v>32.055999999999997</v>
      </c>
      <c r="O6" s="18">
        <f>N6/4.184</f>
        <v>7.6615678776290626</v>
      </c>
    </row>
    <row r="7" spans="1:15">
      <c r="A7" s="2" t="s">
        <v>78</v>
      </c>
      <c r="B7" s="46">
        <v>205.15</v>
      </c>
      <c r="C7" s="18"/>
      <c r="D7" s="18"/>
      <c r="E7" s="2"/>
      <c r="F7" s="46"/>
      <c r="G7" s="18"/>
      <c r="H7" s="18"/>
      <c r="I7" s="2"/>
      <c r="J7" s="46"/>
      <c r="K7" s="18"/>
      <c r="L7" s="18"/>
      <c r="M7" s="2"/>
      <c r="N7" s="46"/>
      <c r="O7" s="18"/>
    </row>
    <row r="8" spans="1:15">
      <c r="A8" s="2" t="s">
        <v>79</v>
      </c>
      <c r="B8" s="18">
        <f>B6+B7</f>
        <v>223.96</v>
      </c>
      <c r="C8" s="18"/>
      <c r="D8" s="18"/>
      <c r="E8" s="2" t="s">
        <v>79</v>
      </c>
      <c r="F8" s="18">
        <f>F6+F7</f>
        <v>32.055999999999997</v>
      </c>
      <c r="G8" s="18">
        <f>F8/4.184</f>
        <v>7.6615678776290626</v>
      </c>
      <c r="H8" s="18"/>
      <c r="I8" s="2" t="s">
        <v>79</v>
      </c>
      <c r="J8" s="18">
        <f>J6+J7</f>
        <v>32.055999999999997</v>
      </c>
      <c r="K8" s="18"/>
      <c r="L8" s="18"/>
      <c r="M8" s="2" t="s">
        <v>79</v>
      </c>
      <c r="N8" s="18">
        <f>N6+N7</f>
        <v>32.055999999999997</v>
      </c>
      <c r="O8" s="18">
        <f>N8/4.184</f>
        <v>7.6615678776290626</v>
      </c>
    </row>
    <row r="9" spans="1:15">
      <c r="A9" s="22" t="s">
        <v>80</v>
      </c>
      <c r="B9" s="18"/>
      <c r="C9" s="18">
        <f>B8/4.184</f>
        <v>53.527724665391972</v>
      </c>
      <c r="D9" s="18"/>
      <c r="E9" s="22" t="s">
        <v>182</v>
      </c>
      <c r="F9" s="18">
        <f>F8</f>
        <v>32.055999999999997</v>
      </c>
      <c r="G9" s="18">
        <f t="shared" ref="G9:G12" si="3">F9/4.184</f>
        <v>7.6615678776290626</v>
      </c>
      <c r="H9" s="18"/>
      <c r="I9" s="22" t="s">
        <v>182</v>
      </c>
      <c r="J9" s="18">
        <f>J8</f>
        <v>32.055999999999997</v>
      </c>
      <c r="K9" s="18">
        <f>J8/4.184</f>
        <v>7.6615678776290626</v>
      </c>
      <c r="L9" s="18"/>
      <c r="M9" s="22" t="s">
        <v>182</v>
      </c>
      <c r="N9" s="18">
        <f>N8</f>
        <v>32.055999999999997</v>
      </c>
      <c r="O9" s="18">
        <f>N9/4.184</f>
        <v>7.6615678776290626</v>
      </c>
    </row>
    <row r="10" spans="1:15">
      <c r="A10" s="2" t="s">
        <v>88</v>
      </c>
      <c r="B10" s="18"/>
      <c r="C10" s="18">
        <f>C5-C9</f>
        <v>-43.625724665391971</v>
      </c>
      <c r="D10" s="18"/>
      <c r="E10" s="2" t="s">
        <v>88</v>
      </c>
      <c r="F10" s="18">
        <f>F5-F9</f>
        <v>0</v>
      </c>
      <c r="G10" s="18">
        <f t="shared" si="3"/>
        <v>0</v>
      </c>
      <c r="H10" s="18"/>
      <c r="I10" s="2" t="s">
        <v>88</v>
      </c>
      <c r="J10" s="18">
        <f>J5-J9</f>
        <v>0.97200000000000131</v>
      </c>
      <c r="K10" s="18">
        <f t="shared" ref="K10:K12" si="4">J10/4.184</f>
        <v>0.23231357552581292</v>
      </c>
      <c r="L10" s="18"/>
      <c r="M10" s="2" t="s">
        <v>88</v>
      </c>
      <c r="N10" s="18">
        <f>N5-N9</f>
        <v>4.7690000000000055</v>
      </c>
      <c r="O10" s="18">
        <f>N10/4.184</f>
        <v>1.1398183556405366</v>
      </c>
    </row>
    <row r="11" spans="1:15">
      <c r="A11" s="2" t="s">
        <v>81</v>
      </c>
      <c r="B11" s="18"/>
      <c r="C11" s="18">
        <f>C10*298.15</f>
        <v>-13007.009808986615</v>
      </c>
      <c r="D11" s="18"/>
      <c r="E11" s="2" t="s">
        <v>81</v>
      </c>
      <c r="F11" s="18">
        <f>F10*298.15</f>
        <v>0</v>
      </c>
      <c r="G11" s="18">
        <f t="shared" si="3"/>
        <v>0</v>
      </c>
      <c r="H11" s="18"/>
      <c r="I11" s="2" t="s">
        <v>81</v>
      </c>
      <c r="J11" s="18">
        <f>J10*298.15</f>
        <v>289.80180000000036</v>
      </c>
      <c r="K11" s="18">
        <f t="shared" si="4"/>
        <v>69.264292543021114</v>
      </c>
      <c r="L11" s="18"/>
      <c r="M11" s="2" t="s">
        <v>81</v>
      </c>
      <c r="N11" s="18">
        <f>N10*298.15</f>
        <v>1421.8773500000016</v>
      </c>
      <c r="O11" s="18">
        <f t="shared" ref="O11:O12" si="5">N11/4.184</f>
        <v>339.83684273422597</v>
      </c>
    </row>
    <row r="12" spans="1:15" ht="15">
      <c r="A12" s="2" t="s">
        <v>82</v>
      </c>
      <c r="B12" s="18"/>
      <c r="C12" s="43">
        <f>C4-C11</f>
        <v>-204660.29019101337</v>
      </c>
      <c r="D12" s="18"/>
      <c r="E12" s="2" t="s">
        <v>82</v>
      </c>
      <c r="F12" s="18">
        <f>F4-F11</f>
        <v>0</v>
      </c>
      <c r="G12" s="44">
        <f t="shared" si="3"/>
        <v>0</v>
      </c>
      <c r="H12" s="18"/>
      <c r="I12" s="2" t="s">
        <v>82</v>
      </c>
      <c r="J12" s="18">
        <f>J4-J11</f>
        <v>70.198199999999645</v>
      </c>
      <c r="K12" s="44">
        <f t="shared" si="4"/>
        <v>16.777772466539112</v>
      </c>
      <c r="L12" s="18"/>
      <c r="M12" s="2" t="s">
        <v>82</v>
      </c>
      <c r="N12" s="18">
        <f>N4-N11</f>
        <v>432.12264999999843</v>
      </c>
      <c r="O12" s="45">
        <f t="shared" si="5"/>
        <v>103.27979206500918</v>
      </c>
    </row>
    <row r="13" spans="1: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47" t="s">
        <v>87</v>
      </c>
      <c r="N13" s="48">
        <v>413</v>
      </c>
      <c r="O13" s="18"/>
    </row>
    <row r="14" spans="1:15">
      <c r="A14" s="2" t="s">
        <v>54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>
      <c r="A15" s="2" t="s">
        <v>83</v>
      </c>
      <c r="B15" s="2" t="s">
        <v>65</v>
      </c>
      <c r="C15" s="2" t="s">
        <v>184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5">
      <c r="A16" s="2" t="s">
        <v>74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>
      <c r="A17" s="2" t="s">
        <v>75</v>
      </c>
      <c r="B17" s="18">
        <v>-910700</v>
      </c>
      <c r="C17" s="18">
        <f t="shared" ref="C17:C21" si="6">B17/4.184</f>
        <v>-217662.52390057361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>
      <c r="A18" s="2" t="s">
        <v>2</v>
      </c>
      <c r="B18" s="18">
        <v>41.43</v>
      </c>
      <c r="C18" s="18">
        <f t="shared" si="6"/>
        <v>9.9020076481835559</v>
      </c>
      <c r="D18" s="18"/>
      <c r="H18" s="18"/>
      <c r="I18" s="18"/>
      <c r="J18" s="18"/>
      <c r="K18" s="18"/>
      <c r="L18" s="18"/>
      <c r="M18" s="18"/>
      <c r="N18" s="18"/>
      <c r="O18" s="18"/>
    </row>
    <row r="19" spans="1:15">
      <c r="A19" s="2" t="s">
        <v>77</v>
      </c>
      <c r="B19" s="18">
        <v>18.809999999999999</v>
      </c>
      <c r="C19" s="18">
        <f t="shared" si="6"/>
        <v>4.4956978967495216</v>
      </c>
      <c r="D19" s="18"/>
      <c r="H19" s="18"/>
      <c r="I19" s="18"/>
      <c r="J19" s="18"/>
      <c r="K19" s="18"/>
      <c r="L19" s="18"/>
      <c r="M19" s="18"/>
      <c r="N19" s="18"/>
      <c r="O19" s="18"/>
    </row>
    <row r="20" spans="1:15">
      <c r="A20" s="2" t="s">
        <v>78</v>
      </c>
      <c r="B20" s="46">
        <v>205.15</v>
      </c>
      <c r="C20" s="18">
        <f t="shared" si="6"/>
        <v>49.032026768642446</v>
      </c>
      <c r="D20" s="18"/>
      <c r="H20" s="18"/>
      <c r="I20" s="18"/>
      <c r="J20" s="18"/>
      <c r="K20" s="18"/>
      <c r="L20" s="18"/>
      <c r="M20" s="18"/>
      <c r="N20" s="18"/>
      <c r="O20" s="18"/>
    </row>
    <row r="21" spans="1:15">
      <c r="A21" s="2" t="s">
        <v>79</v>
      </c>
      <c r="B21" s="18">
        <f>B19+B20</f>
        <v>223.96</v>
      </c>
      <c r="C21" s="18">
        <f t="shared" si="6"/>
        <v>53.527724665391972</v>
      </c>
      <c r="D21" s="18"/>
      <c r="H21" s="18"/>
      <c r="I21" s="18"/>
      <c r="J21" s="18"/>
      <c r="K21" s="18"/>
      <c r="L21" s="18"/>
      <c r="M21" s="18"/>
      <c r="N21" s="18"/>
      <c r="O21" s="18"/>
    </row>
    <row r="22" spans="1:15">
      <c r="A22" s="22" t="s">
        <v>182</v>
      </c>
      <c r="B22" s="18">
        <f>B21</f>
        <v>223.96</v>
      </c>
      <c r="C22" s="18">
        <f t="shared" ref="C22:C25" si="7">B22/4.184</f>
        <v>53.527724665391972</v>
      </c>
      <c r="D22" s="18"/>
      <c r="H22" s="18"/>
      <c r="I22" s="18"/>
      <c r="J22" s="18"/>
      <c r="K22" s="18"/>
      <c r="L22" s="18"/>
      <c r="M22" s="18"/>
      <c r="N22" s="18"/>
      <c r="O22" s="18"/>
    </row>
    <row r="23" spans="1:15">
      <c r="A23" s="2" t="s">
        <v>88</v>
      </c>
      <c r="B23" s="18">
        <f>B18-B22</f>
        <v>-182.53</v>
      </c>
      <c r="C23" s="18">
        <f t="shared" si="7"/>
        <v>-43.625717017208409</v>
      </c>
      <c r="D23" s="18"/>
      <c r="H23" s="18"/>
      <c r="I23" s="18"/>
      <c r="J23" s="18"/>
      <c r="K23" s="18"/>
      <c r="L23" s="18"/>
      <c r="M23" s="18"/>
      <c r="N23" s="18"/>
      <c r="O23" s="18"/>
    </row>
    <row r="24" spans="1:15">
      <c r="A24" s="2" t="s">
        <v>81</v>
      </c>
      <c r="B24" s="18">
        <f>B23*298.15</f>
        <v>-54421.319499999998</v>
      </c>
      <c r="C24" s="18">
        <f t="shared" si="7"/>
        <v>-13007.007528680688</v>
      </c>
      <c r="D24" s="18"/>
      <c r="H24" s="18"/>
      <c r="I24" s="18"/>
      <c r="J24" s="18"/>
      <c r="K24" s="18"/>
      <c r="L24" s="18"/>
      <c r="M24" s="18"/>
      <c r="N24" s="18"/>
      <c r="O24" s="18"/>
    </row>
    <row r="25" spans="1:15">
      <c r="A25" s="2" t="s">
        <v>82</v>
      </c>
      <c r="B25" s="18">
        <f>B17-B24</f>
        <v>-856278.68050000002</v>
      </c>
      <c r="C25" s="18">
        <f t="shared" si="7"/>
        <v>-204655.51637189291</v>
      </c>
      <c r="D25" s="18"/>
      <c r="H25" s="18"/>
      <c r="I25" s="18"/>
      <c r="J25" s="18"/>
      <c r="K25" s="18"/>
      <c r="L25" s="18"/>
      <c r="M25" s="18"/>
      <c r="N25" s="18"/>
      <c r="O25" s="18"/>
    </row>
    <row r="26" spans="1:15">
      <c r="A26" s="18"/>
      <c r="B26" s="18"/>
      <c r="C26" s="18"/>
      <c r="D26" s="18"/>
      <c r="H26" s="18"/>
      <c r="I26" s="18"/>
      <c r="J26" s="18"/>
      <c r="K26" s="18"/>
      <c r="L26" s="18"/>
      <c r="M26" s="18"/>
      <c r="N26" s="18"/>
      <c r="O26" s="18"/>
    </row>
    <row r="27" spans="1:15">
      <c r="A27" s="18"/>
      <c r="B27" s="18"/>
      <c r="C27" s="18"/>
      <c r="D27" s="18"/>
      <c r="H27" s="18"/>
      <c r="I27" s="18"/>
      <c r="J27" s="18"/>
      <c r="K27" s="18"/>
      <c r="L27" s="18"/>
      <c r="M27" s="18"/>
      <c r="N27" s="18"/>
      <c r="O27" s="18"/>
    </row>
    <row r="28" spans="1:15">
      <c r="A28" s="18"/>
      <c r="B28" s="18"/>
      <c r="C28" s="18"/>
      <c r="D28" s="18"/>
      <c r="H28" s="18"/>
      <c r="I28" s="18"/>
      <c r="J28" s="18"/>
      <c r="K28" s="18"/>
      <c r="L28" s="18"/>
      <c r="M28" s="18"/>
      <c r="N28" s="18"/>
      <c r="O28" s="1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8A2F-4D16-4F11-8FBD-9272004BDAC9}">
  <dimension ref="A1:U33"/>
  <sheetViews>
    <sheetView workbookViewId="0">
      <selection activeCell="D26" sqref="D26:G26"/>
    </sheetView>
  </sheetViews>
  <sheetFormatPr defaultRowHeight="12.75"/>
  <cols>
    <col min="1" max="1" width="21.140625" bestFit="1" customWidth="1"/>
    <col min="2" max="2" width="11.5703125" bestFit="1" customWidth="1"/>
    <col min="3" max="3" width="7" bestFit="1" customWidth="1"/>
    <col min="4" max="4" width="11.28515625" bestFit="1" customWidth="1"/>
    <col min="5" max="5" width="11.5703125" bestFit="1" customWidth="1"/>
    <col min="6" max="6" width="11.28515625" bestFit="1" customWidth="1"/>
    <col min="7" max="9" width="12.7109375" customWidth="1"/>
    <col min="10" max="10" width="12" bestFit="1" customWidth="1"/>
    <col min="11" max="11" width="12.5703125" bestFit="1" customWidth="1"/>
    <col min="12" max="12" width="13.7109375" bestFit="1" customWidth="1"/>
    <col min="13" max="13" width="12.5703125" bestFit="1" customWidth="1"/>
    <col min="14" max="14" width="12.42578125" bestFit="1" customWidth="1"/>
    <col min="15" max="15" width="13.5703125" bestFit="1" customWidth="1"/>
    <col min="16" max="18" width="12.5703125" bestFit="1" customWidth="1"/>
    <col min="19" max="19" width="9.5703125" bestFit="1" customWidth="1"/>
  </cols>
  <sheetData>
    <row r="1" spans="1:21">
      <c r="A1" t="s">
        <v>148</v>
      </c>
      <c r="C1" s="21" t="s">
        <v>11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0</v>
      </c>
    </row>
    <row r="2" spans="1:21">
      <c r="A2" t="s">
        <v>146</v>
      </c>
      <c r="C2">
        <v>298.14999999999998</v>
      </c>
      <c r="D2" s="9">
        <v>32.06</v>
      </c>
      <c r="E2" s="9">
        <v>3.2050000000000002E-2</v>
      </c>
      <c r="F2" s="9">
        <v>1.5509999999999999</v>
      </c>
      <c r="G2" s="9">
        <v>0</v>
      </c>
      <c r="H2" s="9"/>
    </row>
    <row r="3" spans="1:21">
      <c r="A3" t="s">
        <v>137</v>
      </c>
      <c r="E3" s="13">
        <f>E2/4.184*1000</f>
        <v>7.660133843212237</v>
      </c>
      <c r="F3" s="13">
        <f>F2*10</f>
        <v>15.51</v>
      </c>
      <c r="G3" s="14">
        <f>G2/4.184*1000</f>
        <v>0</v>
      </c>
      <c r="H3" s="14"/>
      <c r="U3" s="1"/>
    </row>
    <row r="4" spans="1:21">
      <c r="A4" t="s">
        <v>144</v>
      </c>
      <c r="E4" s="9">
        <v>7.66</v>
      </c>
      <c r="F4" s="9">
        <v>15.51</v>
      </c>
      <c r="G4" s="9">
        <v>0</v>
      </c>
      <c r="H4" s="9">
        <v>0</v>
      </c>
    </row>
    <row r="5" spans="1:21">
      <c r="A5" t="s">
        <v>147</v>
      </c>
      <c r="E5" s="15" t="s">
        <v>0</v>
      </c>
      <c r="F5" s="15" t="s">
        <v>4</v>
      </c>
      <c r="G5" s="16" t="s">
        <v>2</v>
      </c>
      <c r="H5" s="16" t="s">
        <v>3</v>
      </c>
    </row>
    <row r="6" spans="1:21">
      <c r="E6" s="11">
        <v>0</v>
      </c>
      <c r="F6" s="11">
        <f>G3</f>
        <v>0</v>
      </c>
      <c r="G6" s="10">
        <f>E3</f>
        <v>7.660133843212237</v>
      </c>
      <c r="H6" s="10">
        <f>F3</f>
        <v>15.51</v>
      </c>
    </row>
    <row r="7" spans="1:21">
      <c r="K7" t="s">
        <v>5</v>
      </c>
      <c r="L7" t="s">
        <v>6</v>
      </c>
      <c r="M7" t="s">
        <v>7</v>
      </c>
      <c r="N7" t="s">
        <v>9</v>
      </c>
    </row>
    <row r="8" spans="1:21" ht="12.75" customHeight="1">
      <c r="C8" s="3"/>
      <c r="D8" s="21" t="s">
        <v>5</v>
      </c>
      <c r="E8" s="21" t="s">
        <v>6</v>
      </c>
      <c r="F8" s="21" t="s">
        <v>7</v>
      </c>
      <c r="G8" s="21" t="s">
        <v>9</v>
      </c>
      <c r="J8" s="18" t="s">
        <v>152</v>
      </c>
      <c r="K8" s="25">
        <v>5.6599999999999998E-2</v>
      </c>
      <c r="L8" s="25">
        <v>-4.5569999999999997E-6</v>
      </c>
      <c r="M8">
        <v>638</v>
      </c>
      <c r="N8" s="25">
        <v>-0.68179999999999996</v>
      </c>
    </row>
    <row r="9" spans="1:21" ht="12.75" customHeight="1">
      <c r="C9">
        <v>298.14999999999998</v>
      </c>
      <c r="D9" s="17">
        <v>56.599999999999994</v>
      </c>
      <c r="E9" s="17">
        <v>-4.5569999999999994E-3</v>
      </c>
      <c r="F9" s="17">
        <v>638000</v>
      </c>
      <c r="G9" s="17">
        <v>-681.8</v>
      </c>
      <c r="H9" t="s">
        <v>157</v>
      </c>
      <c r="J9" s="18" t="s">
        <v>153</v>
      </c>
      <c r="K9">
        <f>K8*1000</f>
        <v>56.599999999999994</v>
      </c>
      <c r="L9">
        <f t="shared" ref="L9:N9" si="0">L8*1000</f>
        <v>-4.5569999999999994E-3</v>
      </c>
      <c r="M9">
        <f t="shared" si="0"/>
        <v>638000</v>
      </c>
      <c r="N9">
        <f t="shared" si="0"/>
        <v>-681.8</v>
      </c>
    </row>
    <row r="10" spans="1:21" ht="12.75" customHeight="1">
      <c r="D10" s="31"/>
      <c r="E10" s="31"/>
      <c r="F10" s="31"/>
      <c r="G10" s="31"/>
      <c r="J10" s="18" t="s">
        <v>149</v>
      </c>
      <c r="K10">
        <f>K9/4.184</f>
        <v>13.527724665391968</v>
      </c>
      <c r="L10">
        <f t="shared" ref="L10:N10" si="1">L9/4.184</f>
        <v>-1.0891491395793498E-3</v>
      </c>
      <c r="M10">
        <f t="shared" si="1"/>
        <v>152485.65965583173</v>
      </c>
      <c r="N10">
        <f t="shared" si="1"/>
        <v>-162.95411089866155</v>
      </c>
    </row>
    <row r="11" spans="1:21" ht="12.75" customHeight="1">
      <c r="D11" s="2" t="s">
        <v>164</v>
      </c>
      <c r="E11" s="2" t="s">
        <v>163</v>
      </c>
      <c r="F11" s="2" t="s">
        <v>164</v>
      </c>
      <c r="J11" s="18" t="s">
        <v>150</v>
      </c>
      <c r="K11" s="18">
        <v>1</v>
      </c>
      <c r="L11">
        <v>1000</v>
      </c>
      <c r="M11">
        <v>9.9999999999999995E-7</v>
      </c>
      <c r="N11">
        <v>1</v>
      </c>
    </row>
    <row r="12" spans="1:21" ht="12.75" customHeight="1">
      <c r="C12" s="2" t="s">
        <v>11</v>
      </c>
      <c r="D12" s="21" t="s">
        <v>43</v>
      </c>
      <c r="E12" s="21" t="s">
        <v>43</v>
      </c>
      <c r="F12" s="2" t="s">
        <v>44</v>
      </c>
      <c r="H12" s="2"/>
      <c r="J12" s="18" t="s">
        <v>151</v>
      </c>
      <c r="K12">
        <f>K10*K11</f>
        <v>13.527724665391968</v>
      </c>
      <c r="L12">
        <f t="shared" ref="L12:N12" si="2">L10*L11</f>
        <v>-1.0891491395793498</v>
      </c>
      <c r="M12">
        <f t="shared" si="2"/>
        <v>0.15248565965583172</v>
      </c>
      <c r="N12">
        <f t="shared" si="2"/>
        <v>-162.95411089866155</v>
      </c>
    </row>
    <row r="13" spans="1:21" ht="12.75" customHeight="1">
      <c r="C13">
        <v>298.14999999999998</v>
      </c>
      <c r="D13" s="28">
        <f t="shared" ref="D13:D20" si="3">D$9+E$9*C13+F$9*C13^-2+G$9*C13^-0.5</f>
        <v>22.932787260865631</v>
      </c>
      <c r="E13" s="27">
        <v>22.698</v>
      </c>
      <c r="F13" s="4">
        <f t="shared" ref="F13:F22" si="4">D13/4.184</f>
        <v>5.4810677009717086</v>
      </c>
    </row>
    <row r="14" spans="1:21" ht="12.75" customHeight="1">
      <c r="C14">
        <v>300</v>
      </c>
      <c r="D14" s="28">
        <f t="shared" si="3"/>
        <v>22.958047535540203</v>
      </c>
      <c r="E14" s="27">
        <v>22.744</v>
      </c>
      <c r="F14" s="4">
        <f t="shared" si="4"/>
        <v>5.4871050515153446</v>
      </c>
    </row>
    <row r="15" spans="1:21" ht="12.75" customHeight="1">
      <c r="C15">
        <v>350</v>
      </c>
      <c r="D15" s="28">
        <f t="shared" si="3"/>
        <v>23.769470318127937</v>
      </c>
      <c r="E15" s="27">
        <v>23.87</v>
      </c>
      <c r="F15" s="4">
        <f t="shared" si="4"/>
        <v>5.6810397509866002</v>
      </c>
    </row>
    <row r="16" spans="1:21" ht="12.75" customHeight="1">
      <c r="C16">
        <v>368.3</v>
      </c>
      <c r="D16" s="28">
        <f t="shared" si="3"/>
        <v>24.098310790808014</v>
      </c>
      <c r="E16" s="27">
        <v>24.245999999999999</v>
      </c>
      <c r="F16" s="4">
        <f t="shared" si="4"/>
        <v>5.7596345102313604</v>
      </c>
    </row>
    <row r="17" spans="3:8" ht="12.75" customHeight="1">
      <c r="C17">
        <v>400</v>
      </c>
      <c r="D17" s="4">
        <f t="shared" si="3"/>
        <v>24.674699999999994</v>
      </c>
      <c r="E17">
        <v>24.895</v>
      </c>
      <c r="F17" s="4">
        <f t="shared" si="4"/>
        <v>5.8973948374760976</v>
      </c>
    </row>
    <row r="18" spans="3:8" ht="12.75" customHeight="1">
      <c r="C18">
        <v>450</v>
      </c>
      <c r="D18" s="4">
        <f t="shared" si="3"/>
        <v>25.559607056418074</v>
      </c>
      <c r="E18">
        <v>25.92</v>
      </c>
      <c r="F18" s="4">
        <f t="shared" si="4"/>
        <v>6.1088926999087168</v>
      </c>
    </row>
    <row r="19" spans="3:8" ht="12.75" customHeight="1">
      <c r="C19">
        <v>500</v>
      </c>
      <c r="D19" s="4">
        <f t="shared" si="3"/>
        <v>26.382477058812864</v>
      </c>
      <c r="E19">
        <v>26.945</v>
      </c>
      <c r="F19" s="4">
        <f t="shared" si="4"/>
        <v>6.3055633505766879</v>
      </c>
    </row>
    <row r="20" spans="3:8" ht="12.75" customHeight="1">
      <c r="C20">
        <v>600</v>
      </c>
      <c r="D20" s="4">
        <f t="shared" si="3"/>
        <v>27.80365377839604</v>
      </c>
      <c r="E20">
        <v>28.995000000000001</v>
      </c>
      <c r="F20" s="4">
        <f t="shared" si="4"/>
        <v>6.6452327386223802</v>
      </c>
    </row>
    <row r="21" spans="3:8" ht="12.75" customHeight="1">
      <c r="C21">
        <v>700</v>
      </c>
      <c r="D21" s="4">
        <f t="shared" ref="D21:D22" si="5">D$9+E$9*C21+F$9*C21^-2+G$9*C21^-0.5</f>
        <v>28.942523046557415</v>
      </c>
      <c r="E21">
        <v>31.045000000000002</v>
      </c>
      <c r="F21" s="4">
        <f t="shared" si="4"/>
        <v>6.9174290264238563</v>
      </c>
    </row>
    <row r="22" spans="3:8" ht="12.75" customHeight="1">
      <c r="C22">
        <v>800</v>
      </c>
      <c r="D22" s="4">
        <f t="shared" si="5"/>
        <v>29.846004829350591</v>
      </c>
      <c r="E22">
        <v>33.094999999999999</v>
      </c>
      <c r="F22" s="4">
        <f t="shared" si="4"/>
        <v>7.1333663550073112</v>
      </c>
    </row>
    <row r="23" spans="3:8">
      <c r="D23" s="4"/>
      <c r="E23" s="4"/>
    </row>
    <row r="25" spans="3:8" ht="15.75">
      <c r="C25" s="3"/>
      <c r="D25" s="21" t="s">
        <v>5</v>
      </c>
      <c r="E25" s="21" t="s">
        <v>6</v>
      </c>
      <c r="F25" s="21" t="s">
        <v>7</v>
      </c>
      <c r="G25" s="21" t="s">
        <v>9</v>
      </c>
    </row>
    <row r="26" spans="3:8">
      <c r="C26">
        <v>298.14999999999998</v>
      </c>
      <c r="D26" s="17">
        <v>13.527724665391968</v>
      </c>
      <c r="E26" s="17">
        <v>-1.0891491395793498E-3</v>
      </c>
      <c r="F26" s="17">
        <v>152485.65965583173</v>
      </c>
      <c r="G26" s="17">
        <v>-162.95411089866155</v>
      </c>
      <c r="H26" t="s">
        <v>157</v>
      </c>
    </row>
    <row r="27" spans="3:8">
      <c r="D27" s="31"/>
      <c r="E27" s="31"/>
      <c r="F27" s="31"/>
      <c r="G27" s="31"/>
    </row>
    <row r="28" spans="3:8">
      <c r="D28" s="2" t="s">
        <v>164</v>
      </c>
      <c r="E28" s="2"/>
      <c r="F28" s="2" t="s">
        <v>164</v>
      </c>
    </row>
    <row r="29" spans="3:8">
      <c r="C29" s="2" t="s">
        <v>11</v>
      </c>
      <c r="D29" s="2" t="s">
        <v>44</v>
      </c>
      <c r="E29" s="21"/>
      <c r="F29" s="2" t="s">
        <v>44</v>
      </c>
      <c r="H29" s="2"/>
    </row>
    <row r="30" spans="3:8">
      <c r="C30">
        <v>298.14999999999998</v>
      </c>
      <c r="D30" s="28">
        <f>D$26+E$26*C30+F$26*C30^-2+G$26*C30^-0.5</f>
        <v>5.4810677009717104</v>
      </c>
      <c r="F30" s="4">
        <f>D30/4.184</f>
        <v>1.3100066206911354</v>
      </c>
    </row>
    <row r="31" spans="3:8">
      <c r="C31">
        <v>300</v>
      </c>
      <c r="D31" s="28">
        <f t="shared" ref="D31:D33" si="6">D$26+E$26*C31+F$26*C31^-2+G$26*C31^-0.5</f>
        <v>5.4871050515153463</v>
      </c>
      <c r="F31" s="4">
        <f>D31/4.184</f>
        <v>1.3114495821021381</v>
      </c>
    </row>
    <row r="32" spans="3:8">
      <c r="C32">
        <v>350</v>
      </c>
      <c r="D32" s="28">
        <f t="shared" si="6"/>
        <v>5.6810397509866011</v>
      </c>
      <c r="F32" s="4">
        <f>D32/4.184</f>
        <v>1.3578010877119027</v>
      </c>
    </row>
    <row r="33" spans="3:6">
      <c r="C33">
        <v>368.3</v>
      </c>
      <c r="D33" s="28">
        <f t="shared" si="6"/>
        <v>5.7596345102313595</v>
      </c>
      <c r="F33" s="4">
        <f>D33/4.184</f>
        <v>1.3765856860017589</v>
      </c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282A-F855-42DD-8B58-23E5C10BFE39}">
  <dimension ref="A1:U29"/>
  <sheetViews>
    <sheetView workbookViewId="0">
      <selection activeCell="K29" sqref="K29"/>
    </sheetView>
  </sheetViews>
  <sheetFormatPr defaultRowHeight="12.75"/>
  <cols>
    <col min="1" max="1" width="21.140625" bestFit="1" customWidth="1"/>
    <col min="2" max="2" width="7" bestFit="1" customWidth="1"/>
    <col min="3" max="4" width="12" bestFit="1" customWidth="1"/>
    <col min="5" max="5" width="11.5703125" bestFit="1" customWidth="1"/>
    <col min="6" max="6" width="12.5703125" bestFit="1" customWidth="1"/>
    <col min="7" max="7" width="12.42578125" bestFit="1" customWidth="1"/>
    <col min="8" max="9" width="12" bestFit="1" customWidth="1"/>
    <col min="10" max="10" width="4" customWidth="1"/>
    <col min="11" max="11" width="12.5703125" bestFit="1" customWidth="1"/>
    <col min="12" max="12" width="13.7109375" bestFit="1" customWidth="1"/>
    <col min="13" max="13" width="12.5703125" bestFit="1" customWidth="1"/>
    <col min="14" max="14" width="12.42578125" bestFit="1" customWidth="1"/>
    <col min="15" max="15" width="13.5703125" bestFit="1" customWidth="1"/>
    <col min="16" max="18" width="12.5703125" bestFit="1" customWidth="1"/>
    <col min="19" max="19" width="9.5703125" bestFit="1" customWidth="1"/>
  </cols>
  <sheetData>
    <row r="1" spans="1:21">
      <c r="K1" t="s">
        <v>15</v>
      </c>
    </row>
    <row r="2" spans="1:21" ht="13.5" thickBot="1">
      <c r="C2" s="21" t="s">
        <v>43</v>
      </c>
      <c r="D2" s="2" t="s">
        <v>44</v>
      </c>
      <c r="E2" s="2" t="s">
        <v>11</v>
      </c>
      <c r="F2" s="2" t="s">
        <v>12</v>
      </c>
      <c r="G2" s="2" t="s">
        <v>13</v>
      </c>
    </row>
    <row r="3" spans="1:21">
      <c r="B3">
        <v>298.14999999999998</v>
      </c>
      <c r="C3">
        <v>22.698</v>
      </c>
      <c r="D3" s="4">
        <f>C3/4.184</f>
        <v>5.4249521988527727</v>
      </c>
      <c r="E3">
        <f>B3</f>
        <v>298.14999999999998</v>
      </c>
      <c r="F3">
        <f>B3^-2</f>
        <v>1.1249426244107095E-5</v>
      </c>
      <c r="G3">
        <f>B3^-0.5</f>
        <v>5.791387083143839E-2</v>
      </c>
      <c r="K3" s="7" t="s">
        <v>16</v>
      </c>
      <c r="L3" s="7"/>
      <c r="T3" s="1"/>
      <c r="U3" s="1"/>
    </row>
    <row r="4" spans="1:21">
      <c r="B4">
        <v>300</v>
      </c>
      <c r="C4">
        <v>22.744</v>
      </c>
      <c r="D4" s="4">
        <f>C4/4.184</f>
        <v>5.4359464627151048</v>
      </c>
      <c r="E4">
        <f>B4</f>
        <v>300</v>
      </c>
      <c r="F4">
        <f>B4^-2</f>
        <v>1.1111111111111112E-5</v>
      </c>
      <c r="G4">
        <f>B4^-0.5</f>
        <v>5.7735026918962568E-2</v>
      </c>
      <c r="K4" t="s">
        <v>17</v>
      </c>
      <c r="L4">
        <v>1</v>
      </c>
    </row>
    <row r="5" spans="1:21">
      <c r="B5">
        <v>350</v>
      </c>
      <c r="C5">
        <v>23.87</v>
      </c>
      <c r="D5" s="4">
        <f>C5/4.184</f>
        <v>5.7050669216061189</v>
      </c>
      <c r="E5">
        <f>B5</f>
        <v>350</v>
      </c>
      <c r="F5">
        <f>B5^-2</f>
        <v>8.1632653061224483E-6</v>
      </c>
      <c r="G5">
        <f>B5^-0.5</f>
        <v>5.3452248382484871E-2</v>
      </c>
      <c r="K5" t="s">
        <v>18</v>
      </c>
      <c r="L5">
        <v>1</v>
      </c>
    </row>
    <row r="6" spans="1:21">
      <c r="B6">
        <v>368.3</v>
      </c>
      <c r="C6">
        <v>24.245999999999999</v>
      </c>
      <c r="D6" s="4">
        <f>C6/4.184</f>
        <v>5.7949330783938811</v>
      </c>
      <c r="E6">
        <f>B6</f>
        <v>368.3</v>
      </c>
      <c r="F6">
        <f>B6^-2</f>
        <v>7.3721907253564794E-6</v>
      </c>
      <c r="G6">
        <f>B6^-0.5</f>
        <v>5.2107368424713141E-2</v>
      </c>
      <c r="K6" t="s">
        <v>19</v>
      </c>
      <c r="L6">
        <v>65535</v>
      </c>
    </row>
    <row r="7" spans="1:21">
      <c r="C7" s="4"/>
      <c r="D7" s="4"/>
      <c r="K7" t="s">
        <v>20</v>
      </c>
      <c r="L7">
        <v>0</v>
      </c>
    </row>
    <row r="8" spans="1:21" ht="13.5" thickBot="1">
      <c r="C8" s="4"/>
      <c r="D8" s="4"/>
      <c r="K8" s="5" t="s">
        <v>21</v>
      </c>
      <c r="L8" s="5">
        <v>4</v>
      </c>
    </row>
    <row r="9" spans="1:21">
      <c r="C9" s="4"/>
      <c r="D9" s="4"/>
    </row>
    <row r="10" spans="1:21" ht="13.5" thickBot="1">
      <c r="C10" s="4"/>
      <c r="D10" s="4"/>
      <c r="K10" t="s">
        <v>22</v>
      </c>
    </row>
    <row r="11" spans="1:21">
      <c r="K11" s="6"/>
      <c r="L11" s="6" t="s">
        <v>27</v>
      </c>
      <c r="M11" s="6" t="s">
        <v>28</v>
      </c>
      <c r="N11" s="6" t="s">
        <v>29</v>
      </c>
      <c r="O11" s="6" t="s">
        <v>30</v>
      </c>
      <c r="P11" s="6" t="s">
        <v>31</v>
      </c>
    </row>
    <row r="12" spans="1:21">
      <c r="C12" s="21" t="s">
        <v>5</v>
      </c>
      <c r="D12" s="21" t="s">
        <v>6</v>
      </c>
      <c r="E12" s="21" t="s">
        <v>7</v>
      </c>
      <c r="F12" s="21" t="s">
        <v>9</v>
      </c>
      <c r="K12" t="s">
        <v>23</v>
      </c>
      <c r="L12">
        <v>3</v>
      </c>
      <c r="M12">
        <v>1.8593149999999983</v>
      </c>
      <c r="N12">
        <v>0.61977166666666605</v>
      </c>
      <c r="O12" t="e">
        <v>#NUM!</v>
      </c>
      <c r="P12" t="e">
        <v>#NUM!</v>
      </c>
    </row>
    <row r="13" spans="1:21">
      <c r="C13" s="21">
        <v>1</v>
      </c>
      <c r="D13" s="21" t="s">
        <v>11</v>
      </c>
      <c r="E13" s="21" t="s">
        <v>12</v>
      </c>
      <c r="F13" s="21" t="s">
        <v>13</v>
      </c>
      <c r="K13" t="s">
        <v>24</v>
      </c>
      <c r="L13">
        <v>0</v>
      </c>
      <c r="M13">
        <v>0</v>
      </c>
      <c r="N13">
        <v>65535</v>
      </c>
    </row>
    <row r="14" spans="1:21" ht="13.5" thickBot="1">
      <c r="A14" t="s">
        <v>42</v>
      </c>
      <c r="C14">
        <f>L17</f>
        <v>1.3257868005131925</v>
      </c>
      <c r="D14">
        <f>L18</f>
        <v>2.7092538832376101E-2</v>
      </c>
      <c r="E14">
        <f>+L19</f>
        <v>-356587.22155827424</v>
      </c>
      <c r="F14">
        <f>L20</f>
        <v>298.82261618282735</v>
      </c>
      <c r="K14" s="5" t="s">
        <v>25</v>
      </c>
      <c r="L14" s="5">
        <v>3</v>
      </c>
      <c r="M14" s="5">
        <v>1.8593149999999983</v>
      </c>
      <c r="N14" s="5"/>
      <c r="O14" s="5"/>
      <c r="P14" s="5"/>
    </row>
    <row r="15" spans="1:21" ht="13.5" thickBot="1">
      <c r="A15" t="s">
        <v>45</v>
      </c>
      <c r="B15">
        <v>298.14999999999998</v>
      </c>
      <c r="C15" s="12">
        <f>C14/4.184</f>
        <v>0.31687065021825822</v>
      </c>
      <c r="D15" s="12">
        <f>D14/4.184*1000</f>
        <v>6.4752721874703871</v>
      </c>
      <c r="E15" s="12">
        <f>E14/4.184/100000</f>
        <v>-0.85226391385820799</v>
      </c>
      <c r="F15" s="12">
        <f>F14/4.184</f>
        <v>71.420319355360263</v>
      </c>
    </row>
    <row r="16" spans="1:21">
      <c r="K16" s="6"/>
      <c r="L16" s="6" t="s">
        <v>32</v>
      </c>
      <c r="M16" s="6" t="s">
        <v>20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</row>
    <row r="17" spans="1:19" ht="15.75">
      <c r="B17" s="3"/>
      <c r="C17" s="21" t="s">
        <v>5</v>
      </c>
      <c r="D17" s="21" t="s">
        <v>6</v>
      </c>
      <c r="E17" s="21" t="s">
        <v>7</v>
      </c>
      <c r="F17" s="21" t="s">
        <v>9</v>
      </c>
      <c r="K17" t="s">
        <v>26</v>
      </c>
      <c r="L17">
        <v>1.3257868005131925</v>
      </c>
      <c r="M17">
        <v>0</v>
      </c>
      <c r="N17">
        <v>65535</v>
      </c>
      <c r="O17" t="e">
        <v>#NUM!</v>
      </c>
      <c r="P17" t="e">
        <v>#VALUE!</v>
      </c>
      <c r="Q17" t="e">
        <v>#VALUE!</v>
      </c>
      <c r="R17">
        <v>1.3257868005131925</v>
      </c>
      <c r="S17">
        <v>1.3257868005131925</v>
      </c>
    </row>
    <row r="18" spans="1:19">
      <c r="A18" s="18" t="s">
        <v>165</v>
      </c>
      <c r="B18">
        <v>298.14999999999998</v>
      </c>
      <c r="C18" s="17">
        <v>1.3257868005131925</v>
      </c>
      <c r="D18" s="17">
        <v>2.7092538832376101E-2</v>
      </c>
      <c r="E18" s="17">
        <v>-356587.22155827424</v>
      </c>
      <c r="F18" s="17">
        <v>298.82261618282735</v>
      </c>
      <c r="K18" t="s">
        <v>39</v>
      </c>
      <c r="L18">
        <v>2.7092538832376101E-2</v>
      </c>
      <c r="M18">
        <v>0</v>
      </c>
      <c r="N18">
        <v>65535</v>
      </c>
      <c r="O18" t="e">
        <v>#NUM!</v>
      </c>
      <c r="P18">
        <v>2.7092538832376101E-2</v>
      </c>
      <c r="Q18">
        <v>2.7092538832376101E-2</v>
      </c>
      <c r="R18">
        <v>2.7092538832376101E-2</v>
      </c>
      <c r="S18">
        <v>2.7092538832376101E-2</v>
      </c>
    </row>
    <row r="19" spans="1:19">
      <c r="C19" s="21" t="s">
        <v>43</v>
      </c>
      <c r="D19" s="2" t="s">
        <v>44</v>
      </c>
      <c r="E19" s="2" t="s">
        <v>54</v>
      </c>
      <c r="F19" s="2"/>
      <c r="G19" s="2"/>
      <c r="K19" t="s">
        <v>40</v>
      </c>
      <c r="L19">
        <v>-356587.22155827424</v>
      </c>
      <c r="M19">
        <v>0</v>
      </c>
      <c r="N19">
        <v>65535</v>
      </c>
      <c r="O19" t="e">
        <v>#NUM!</v>
      </c>
      <c r="P19">
        <v>-356587.22155827424</v>
      </c>
      <c r="Q19">
        <v>-356587.22155827424</v>
      </c>
      <c r="R19">
        <v>-356587.22155827424</v>
      </c>
      <c r="S19">
        <v>-356587.22155827424</v>
      </c>
    </row>
    <row r="20" spans="1:19" ht="13.5" thickBot="1">
      <c r="B20">
        <v>298.14999999999998</v>
      </c>
      <c r="C20" s="28">
        <f>C$18+D$18*B20+E$18*B20^-2+F$18*B20^-0.5</f>
        <v>22.698</v>
      </c>
      <c r="D20" s="4">
        <f t="shared" ref="D20:D23" si="0">C20/4.184</f>
        <v>5.4249521988527727</v>
      </c>
      <c r="E20">
        <v>5.4810677009717104</v>
      </c>
      <c r="K20" s="5" t="s">
        <v>41</v>
      </c>
      <c r="L20" s="5">
        <v>298.82261618282735</v>
      </c>
      <c r="M20" s="5">
        <v>0</v>
      </c>
      <c r="N20" s="5">
        <v>65535</v>
      </c>
      <c r="O20" s="5" t="e">
        <v>#NUM!</v>
      </c>
      <c r="P20" s="5">
        <v>298.82261618282735</v>
      </c>
      <c r="Q20" s="5">
        <v>298.82261618282735</v>
      </c>
      <c r="R20" s="5">
        <v>298.82261618282735</v>
      </c>
      <c r="S20" s="5">
        <v>298.82261618282735</v>
      </c>
    </row>
    <row r="21" spans="1:19">
      <c r="B21">
        <v>300</v>
      </c>
      <c r="C21" s="28">
        <f t="shared" ref="C21:C23" si="1">C$18+D$18*B21+E$18*B21^-2+F$18*B21^-0.5</f>
        <v>22.744</v>
      </c>
      <c r="D21" s="4">
        <f t="shared" si="0"/>
        <v>5.4359464627151048</v>
      </c>
      <c r="E21">
        <v>5.4871050515153463</v>
      </c>
    </row>
    <row r="22" spans="1:19">
      <c r="B22">
        <v>350</v>
      </c>
      <c r="C22" s="28">
        <f t="shared" si="1"/>
        <v>23.87</v>
      </c>
      <c r="D22" s="4">
        <f t="shared" si="0"/>
        <v>5.7050669216061189</v>
      </c>
      <c r="E22">
        <v>5.6810397509866011</v>
      </c>
    </row>
    <row r="23" spans="1:19">
      <c r="B23">
        <v>368.3</v>
      </c>
      <c r="C23" s="28">
        <f t="shared" si="1"/>
        <v>24.245999999999999</v>
      </c>
      <c r="D23" s="4">
        <f t="shared" si="0"/>
        <v>5.7949330783938811</v>
      </c>
      <c r="E23">
        <v>5.7596345102313595</v>
      </c>
    </row>
    <row r="28" spans="1:19">
      <c r="K28" t="s">
        <v>185</v>
      </c>
      <c r="L28">
        <v>1.3257868005131925</v>
      </c>
      <c r="M28">
        <v>2.7092538832376101E-2</v>
      </c>
      <c r="N28">
        <v>-356587.22155827424</v>
      </c>
      <c r="O28">
        <v>298.82261618282735</v>
      </c>
    </row>
    <row r="29" spans="1:19">
      <c r="K29" t="s">
        <v>54</v>
      </c>
      <c r="L29">
        <v>13.527724665391968</v>
      </c>
      <c r="M29">
        <v>-1.0891491395793498E-3</v>
      </c>
      <c r="N29">
        <v>152485.65965583173</v>
      </c>
      <c r="O29">
        <v>-162.95411089866155</v>
      </c>
    </row>
  </sheetData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BFF5-70B9-4794-8FD8-436A53912D81}">
  <dimension ref="A1:U23"/>
  <sheetViews>
    <sheetView workbookViewId="0">
      <selection activeCell="C3" sqref="C3"/>
    </sheetView>
  </sheetViews>
  <sheetFormatPr defaultRowHeight="12.75"/>
  <cols>
    <col min="1" max="1" width="21.140625" bestFit="1" customWidth="1"/>
    <col min="2" max="2" width="7" bestFit="1" customWidth="1"/>
    <col min="3" max="4" width="12" bestFit="1" customWidth="1"/>
    <col min="5" max="5" width="11.5703125" bestFit="1" customWidth="1"/>
    <col min="6" max="6" width="12.5703125" bestFit="1" customWidth="1"/>
    <col min="7" max="7" width="12.42578125" bestFit="1" customWidth="1"/>
    <col min="8" max="9" width="12" bestFit="1" customWidth="1"/>
    <col min="10" max="10" width="4" customWidth="1"/>
    <col min="11" max="11" width="12.5703125" bestFit="1" customWidth="1"/>
    <col min="12" max="12" width="13.7109375" bestFit="1" customWidth="1"/>
    <col min="13" max="13" width="12.5703125" bestFit="1" customWidth="1"/>
    <col min="14" max="14" width="12.42578125" bestFit="1" customWidth="1"/>
    <col min="15" max="15" width="13.5703125" bestFit="1" customWidth="1"/>
    <col min="16" max="18" width="12.5703125" bestFit="1" customWidth="1"/>
    <col min="19" max="19" width="9.5703125" bestFit="1" customWidth="1"/>
  </cols>
  <sheetData>
    <row r="1" spans="1:21">
      <c r="K1" t="s">
        <v>15</v>
      </c>
    </row>
    <row r="2" spans="1:21" ht="13.5" thickBot="1">
      <c r="C2" s="21" t="s">
        <v>43</v>
      </c>
      <c r="D2" s="2" t="s">
        <v>44</v>
      </c>
      <c r="E2" s="2" t="s">
        <v>11</v>
      </c>
      <c r="F2" s="2" t="s">
        <v>12</v>
      </c>
      <c r="G2" s="2" t="s">
        <v>13</v>
      </c>
    </row>
    <row r="3" spans="1:21">
      <c r="B3">
        <v>298.14999999999998</v>
      </c>
      <c r="C3">
        <v>22.698</v>
      </c>
      <c r="D3" s="4">
        <f>C3/4.184</f>
        <v>5.4249521988527727</v>
      </c>
      <c r="E3">
        <f>B3</f>
        <v>298.14999999999998</v>
      </c>
      <c r="F3">
        <f>B3^-2</f>
        <v>1.1249426244107095E-5</v>
      </c>
      <c r="G3">
        <f>B3^-0.5</f>
        <v>5.791387083143839E-2</v>
      </c>
      <c r="K3" s="7" t="s">
        <v>16</v>
      </c>
      <c r="L3" s="7"/>
      <c r="T3" s="1"/>
      <c r="U3" s="1"/>
    </row>
    <row r="4" spans="1:21">
      <c r="B4">
        <v>300</v>
      </c>
      <c r="C4">
        <v>22.744</v>
      </c>
      <c r="D4" s="4">
        <f>C4/4.184</f>
        <v>5.4359464627151048</v>
      </c>
      <c r="E4">
        <f>B4</f>
        <v>300</v>
      </c>
      <c r="F4">
        <f>B4^-2</f>
        <v>1.1111111111111112E-5</v>
      </c>
      <c r="G4">
        <f>B4^-0.5</f>
        <v>5.7735026918962568E-2</v>
      </c>
      <c r="K4" t="s">
        <v>17</v>
      </c>
      <c r="L4">
        <v>1</v>
      </c>
    </row>
    <row r="5" spans="1:21">
      <c r="B5">
        <v>350</v>
      </c>
      <c r="C5">
        <v>23.87</v>
      </c>
      <c r="D5" s="4">
        <f>C5/4.184</f>
        <v>5.7050669216061189</v>
      </c>
      <c r="E5">
        <f>B5</f>
        <v>350</v>
      </c>
      <c r="F5">
        <f>B5^-2</f>
        <v>8.1632653061224483E-6</v>
      </c>
      <c r="G5">
        <f>B5^-0.5</f>
        <v>5.3452248382484871E-2</v>
      </c>
      <c r="K5" t="s">
        <v>18</v>
      </c>
      <c r="L5">
        <v>1</v>
      </c>
    </row>
    <row r="6" spans="1:21">
      <c r="B6">
        <v>368.3</v>
      </c>
      <c r="C6">
        <v>24.245999999999999</v>
      </c>
      <c r="D6" s="4">
        <f>C6/4.184</f>
        <v>5.7949330783938811</v>
      </c>
      <c r="E6">
        <f>B6</f>
        <v>368.3</v>
      </c>
      <c r="F6">
        <f>B6^-2</f>
        <v>7.3721907253564794E-6</v>
      </c>
      <c r="G6">
        <f>B6^-0.5</f>
        <v>5.2107368424713141E-2</v>
      </c>
      <c r="K6" t="s">
        <v>19</v>
      </c>
      <c r="L6">
        <v>65535</v>
      </c>
    </row>
    <row r="7" spans="1:21">
      <c r="C7" s="4"/>
      <c r="D7" s="4"/>
      <c r="K7" t="s">
        <v>20</v>
      </c>
      <c r="L7">
        <v>0</v>
      </c>
    </row>
    <row r="8" spans="1:21" ht="13.5" thickBot="1">
      <c r="C8" s="4"/>
      <c r="D8" s="4"/>
      <c r="K8" s="5" t="s">
        <v>21</v>
      </c>
      <c r="L8" s="5">
        <v>4</v>
      </c>
    </row>
    <row r="9" spans="1:21">
      <c r="C9" s="4"/>
      <c r="D9" s="4"/>
    </row>
    <row r="10" spans="1:21" ht="13.5" thickBot="1">
      <c r="C10" s="4"/>
      <c r="D10" s="4"/>
      <c r="K10" t="s">
        <v>22</v>
      </c>
    </row>
    <row r="11" spans="1:21">
      <c r="K11" s="6"/>
      <c r="L11" s="6" t="s">
        <v>27</v>
      </c>
      <c r="M11" s="6" t="s">
        <v>28</v>
      </c>
      <c r="N11" s="6" t="s">
        <v>29</v>
      </c>
      <c r="O11" s="6" t="s">
        <v>30</v>
      </c>
      <c r="P11" s="6" t="s">
        <v>31</v>
      </c>
    </row>
    <row r="12" spans="1:21">
      <c r="C12" s="21" t="s">
        <v>5</v>
      </c>
      <c r="D12" s="21" t="s">
        <v>6</v>
      </c>
      <c r="E12" s="21" t="s">
        <v>7</v>
      </c>
      <c r="F12" s="21" t="s">
        <v>9</v>
      </c>
      <c r="K12" t="s">
        <v>23</v>
      </c>
      <c r="L12">
        <v>3</v>
      </c>
      <c r="M12">
        <v>1.8593149999999983</v>
      </c>
      <c r="N12">
        <v>0.61977166666666605</v>
      </c>
      <c r="O12" t="e">
        <v>#NUM!</v>
      </c>
      <c r="P12" t="e">
        <v>#NUM!</v>
      </c>
    </row>
    <row r="13" spans="1:21">
      <c r="C13" s="21">
        <v>1</v>
      </c>
      <c r="D13" s="21" t="s">
        <v>11</v>
      </c>
      <c r="E13" s="21" t="s">
        <v>12</v>
      </c>
      <c r="F13" s="21" t="s">
        <v>13</v>
      </c>
      <c r="K13" t="s">
        <v>24</v>
      </c>
      <c r="L13">
        <v>0</v>
      </c>
      <c r="M13">
        <v>0</v>
      </c>
      <c r="N13">
        <v>65535</v>
      </c>
    </row>
    <row r="14" spans="1:21" ht="13.5" thickBot="1">
      <c r="A14" t="s">
        <v>42</v>
      </c>
      <c r="C14">
        <f>L17</f>
        <v>1.3257868005131925</v>
      </c>
      <c r="D14">
        <f>L18</f>
        <v>2.7092538832376101E-2</v>
      </c>
      <c r="E14">
        <f>+L19</f>
        <v>-356587.22155827424</v>
      </c>
      <c r="F14">
        <f>L20</f>
        <v>298.82261618282735</v>
      </c>
      <c r="K14" s="5" t="s">
        <v>25</v>
      </c>
      <c r="L14" s="5">
        <v>3</v>
      </c>
      <c r="M14" s="5">
        <v>1.8593149999999983</v>
      </c>
      <c r="N14" s="5"/>
      <c r="O14" s="5"/>
      <c r="P14" s="5"/>
    </row>
    <row r="15" spans="1:21" ht="13.5" thickBot="1">
      <c r="A15" t="s">
        <v>45</v>
      </c>
      <c r="B15">
        <v>298.14999999999998</v>
      </c>
      <c r="C15" s="12">
        <f>C14/4.184</f>
        <v>0.31687065021825822</v>
      </c>
      <c r="D15" s="12">
        <f>D14/4.184*1000</f>
        <v>6.4752721874703871</v>
      </c>
      <c r="E15" s="12">
        <f>E14/4.184/100000</f>
        <v>-0.85226391385820799</v>
      </c>
      <c r="F15" s="12">
        <f>F14/4.184</f>
        <v>71.420319355360263</v>
      </c>
    </row>
    <row r="16" spans="1:21">
      <c r="K16" s="6"/>
      <c r="L16" s="6" t="s">
        <v>32</v>
      </c>
      <c r="M16" s="6" t="s">
        <v>20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</row>
    <row r="17" spans="1:19" ht="15.75">
      <c r="B17" s="3"/>
      <c r="C17" s="21" t="s">
        <v>5</v>
      </c>
      <c r="D17" s="21" t="s">
        <v>6</v>
      </c>
      <c r="E17" s="21" t="s">
        <v>7</v>
      </c>
      <c r="F17" s="21" t="s">
        <v>9</v>
      </c>
      <c r="K17" t="s">
        <v>26</v>
      </c>
      <c r="L17">
        <v>1.3257868005131925</v>
      </c>
      <c r="M17">
        <v>0</v>
      </c>
      <c r="N17">
        <v>65535</v>
      </c>
      <c r="O17" t="e">
        <v>#NUM!</v>
      </c>
      <c r="P17" t="e">
        <v>#VALUE!</v>
      </c>
      <c r="Q17" t="e">
        <v>#VALUE!</v>
      </c>
      <c r="R17">
        <v>1.3257868005131925</v>
      </c>
      <c r="S17">
        <v>1.3257868005131925</v>
      </c>
    </row>
    <row r="18" spans="1:19">
      <c r="A18" s="18" t="s">
        <v>165</v>
      </c>
      <c r="B18">
        <v>298.14999999999998</v>
      </c>
      <c r="C18" s="17">
        <v>1.3257868005131925</v>
      </c>
      <c r="D18" s="17">
        <v>2.7092538832376101E-2</v>
      </c>
      <c r="E18" s="17">
        <v>-356587.22155827424</v>
      </c>
      <c r="F18" s="17">
        <v>298.82261618282735</v>
      </c>
      <c r="G18" t="s">
        <v>157</v>
      </c>
      <c r="K18" t="s">
        <v>39</v>
      </c>
      <c r="L18">
        <v>2.7092538832376101E-2</v>
      </c>
      <c r="M18">
        <v>0</v>
      </c>
      <c r="N18">
        <v>65535</v>
      </c>
      <c r="O18" t="e">
        <v>#NUM!</v>
      </c>
      <c r="P18">
        <v>2.7092538832376101E-2</v>
      </c>
      <c r="Q18">
        <v>2.7092538832376101E-2</v>
      </c>
      <c r="R18">
        <v>2.7092538832376101E-2</v>
      </c>
      <c r="S18">
        <v>2.7092538832376101E-2</v>
      </c>
    </row>
    <row r="19" spans="1:19">
      <c r="C19" s="21" t="s">
        <v>43</v>
      </c>
      <c r="D19" s="2" t="s">
        <v>44</v>
      </c>
      <c r="E19" s="2" t="s">
        <v>54</v>
      </c>
      <c r="F19" s="2"/>
      <c r="G19" s="2"/>
      <c r="K19" t="s">
        <v>40</v>
      </c>
      <c r="L19">
        <v>-356587.22155827424</v>
      </c>
      <c r="M19">
        <v>0</v>
      </c>
      <c r="N19">
        <v>65535</v>
      </c>
      <c r="O19" t="e">
        <v>#NUM!</v>
      </c>
      <c r="P19">
        <v>-356587.22155827424</v>
      </c>
      <c r="Q19">
        <v>-356587.22155827424</v>
      </c>
      <c r="R19">
        <v>-356587.22155827424</v>
      </c>
      <c r="S19">
        <v>-356587.22155827424</v>
      </c>
    </row>
    <row r="20" spans="1:19" ht="13.5" thickBot="1">
      <c r="B20">
        <v>298.14999999999998</v>
      </c>
      <c r="C20" s="28">
        <f>C$18+D$18*B20+E$18*B20^-2+F$18*B20^-0.5</f>
        <v>22.698</v>
      </c>
      <c r="D20" s="4">
        <f t="shared" ref="D20:D23" si="0">C20/4.184</f>
        <v>5.4249521988527727</v>
      </c>
      <c r="E20">
        <v>5.4810677009717104</v>
      </c>
      <c r="K20" s="5" t="s">
        <v>41</v>
      </c>
      <c r="L20" s="5">
        <v>298.82261618282735</v>
      </c>
      <c r="M20" s="5">
        <v>0</v>
      </c>
      <c r="N20" s="5">
        <v>65535</v>
      </c>
      <c r="O20" s="5" t="e">
        <v>#NUM!</v>
      </c>
      <c r="P20" s="5">
        <v>298.82261618282735</v>
      </c>
      <c r="Q20" s="5">
        <v>298.82261618282735</v>
      </c>
      <c r="R20" s="5">
        <v>298.82261618282735</v>
      </c>
      <c r="S20" s="5">
        <v>298.82261618282735</v>
      </c>
    </row>
    <row r="21" spans="1:19">
      <c r="B21">
        <v>300</v>
      </c>
      <c r="C21" s="28">
        <f t="shared" ref="C21:C23" si="1">C$18+D$18*B21+E$18*B21^-2+F$18*B21^-0.5</f>
        <v>22.744</v>
      </c>
      <c r="D21" s="4">
        <f t="shared" si="0"/>
        <v>5.4359464627151048</v>
      </c>
      <c r="E21">
        <v>5.4871050515153463</v>
      </c>
    </row>
    <row r="22" spans="1:19">
      <c r="B22">
        <v>350</v>
      </c>
      <c r="C22" s="28">
        <f t="shared" si="1"/>
        <v>23.87</v>
      </c>
      <c r="D22" s="4">
        <f t="shared" si="0"/>
        <v>5.7050669216061189</v>
      </c>
      <c r="E22">
        <v>5.6810397509866011</v>
      </c>
    </row>
    <row r="23" spans="1:19">
      <c r="B23">
        <v>368.3</v>
      </c>
      <c r="C23" s="28">
        <f t="shared" si="1"/>
        <v>24.245999999999999</v>
      </c>
      <c r="D23" s="4">
        <f t="shared" si="0"/>
        <v>5.7949330783938811</v>
      </c>
      <c r="E23">
        <v>5.7596345102313595</v>
      </c>
    </row>
  </sheetData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D062-CCF6-47D7-A708-D00B8C3457CD}">
  <dimension ref="A1:V41"/>
  <sheetViews>
    <sheetView workbookViewId="0">
      <selection activeCell="D13" sqref="D13"/>
    </sheetView>
  </sheetViews>
  <sheetFormatPr defaultRowHeight="12.75"/>
  <cols>
    <col min="1" max="1" width="23.28515625" bestFit="1" customWidth="1"/>
    <col min="2" max="2" width="7.5703125" bestFit="1" customWidth="1"/>
    <col min="3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>
      <c r="A1" s="2"/>
      <c r="B1" s="2"/>
      <c r="C1" s="21" t="s">
        <v>11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0</v>
      </c>
      <c r="L1" t="s">
        <v>15</v>
      </c>
    </row>
    <row r="2" spans="1:22" ht="13.5" thickBot="1">
      <c r="A2" s="2" t="s">
        <v>174</v>
      </c>
      <c r="D2" s="9">
        <v>32.06</v>
      </c>
      <c r="E2" s="9">
        <v>33.027999999999999</v>
      </c>
      <c r="F2" s="9">
        <v>15.51</v>
      </c>
      <c r="G2" s="9">
        <v>0.36</v>
      </c>
      <c r="H2" s="9">
        <v>7.0000000000000007E-2</v>
      </c>
      <c r="I2" s="18" t="s">
        <v>175</v>
      </c>
    </row>
    <row r="3" spans="1:22">
      <c r="E3" s="13">
        <f>E2/4.184</f>
        <v>7.8938814531548749</v>
      </c>
      <c r="F3" s="13">
        <f>F2</f>
        <v>15.51</v>
      </c>
      <c r="G3" s="14">
        <f>G2/4.184*1000</f>
        <v>86.042065009560233</v>
      </c>
      <c r="H3" s="14">
        <f>H2/4.184*1000</f>
        <v>16.730401529636712</v>
      </c>
      <c r="I3" s="18" t="s">
        <v>167</v>
      </c>
      <c r="L3" s="7" t="s">
        <v>16</v>
      </c>
      <c r="M3" s="7"/>
      <c r="U3" s="1"/>
      <c r="V3" s="1"/>
    </row>
    <row r="4" spans="1:22">
      <c r="E4" s="15" t="s">
        <v>0</v>
      </c>
      <c r="F4" s="15" t="s">
        <v>4</v>
      </c>
      <c r="G4" s="16" t="s">
        <v>2</v>
      </c>
      <c r="H4" s="16" t="s">
        <v>3</v>
      </c>
      <c r="L4" t="s">
        <v>17</v>
      </c>
      <c r="M4">
        <v>0.99999118239619078</v>
      </c>
    </row>
    <row r="5" spans="1:22">
      <c r="E5" s="11">
        <f>H3</f>
        <v>16.730401529636712</v>
      </c>
      <c r="F5" s="11">
        <f>G3</f>
        <v>86.042065009560233</v>
      </c>
      <c r="G5" s="10">
        <f>E3</f>
        <v>7.8938814531548749</v>
      </c>
      <c r="H5" s="10">
        <f>F3</f>
        <v>15.51</v>
      </c>
      <c r="L5" t="s">
        <v>18</v>
      </c>
      <c r="M5">
        <v>0.9999823648701317</v>
      </c>
    </row>
    <row r="6" spans="1:22">
      <c r="L6" t="s">
        <v>19</v>
      </c>
      <c r="M6">
        <v>0.9999748069573311</v>
      </c>
    </row>
    <row r="7" spans="1:22" ht="15.75">
      <c r="C7" s="3"/>
      <c r="D7" s="3"/>
      <c r="E7" s="3"/>
      <c r="F7" s="3"/>
      <c r="G7" s="3"/>
      <c r="L7" t="s">
        <v>20</v>
      </c>
      <c r="M7">
        <v>1.6528439862070119E-2</v>
      </c>
    </row>
    <row r="8" spans="1:22" ht="16.5" thickBot="1">
      <c r="C8" s="3"/>
      <c r="D8" s="3"/>
      <c r="E8" s="3"/>
      <c r="F8" s="3"/>
      <c r="G8" s="3"/>
      <c r="L8" s="5" t="s">
        <v>21</v>
      </c>
      <c r="M8" s="5">
        <v>11</v>
      </c>
    </row>
    <row r="9" spans="1:22">
      <c r="D9" s="17"/>
      <c r="E9" s="17"/>
      <c r="F9" s="17"/>
      <c r="G9" s="17"/>
    </row>
    <row r="10" spans="1:22" ht="13.5" thickBot="1">
      <c r="D10" s="1"/>
      <c r="E10" s="1"/>
      <c r="F10" s="1"/>
      <c r="G10" s="1"/>
      <c r="H10" s="1"/>
      <c r="L10" t="s">
        <v>22</v>
      </c>
    </row>
    <row r="11" spans="1:22">
      <c r="L11" s="6"/>
      <c r="M11" s="6" t="s">
        <v>27</v>
      </c>
      <c r="N11" s="6" t="s">
        <v>28</v>
      </c>
      <c r="O11" s="6" t="s">
        <v>29</v>
      </c>
      <c r="P11" s="6" t="s">
        <v>30</v>
      </c>
      <c r="Q11" s="6" t="s">
        <v>31</v>
      </c>
    </row>
    <row r="12" spans="1:22">
      <c r="C12" s="2" t="s">
        <v>11</v>
      </c>
      <c r="D12" s="21" t="s">
        <v>43</v>
      </c>
      <c r="E12" s="2" t="s">
        <v>44</v>
      </c>
      <c r="F12" s="2" t="s">
        <v>11</v>
      </c>
      <c r="G12" s="2" t="s">
        <v>12</v>
      </c>
      <c r="H12" s="2" t="s">
        <v>13</v>
      </c>
      <c r="L12" t="s">
        <v>23</v>
      </c>
      <c r="M12">
        <v>3</v>
      </c>
      <c r="N12">
        <v>108.4364878565482</v>
      </c>
      <c r="O12">
        <v>36.145495952182735</v>
      </c>
      <c r="P12">
        <v>132309.32814900528</v>
      </c>
      <c r="Q12">
        <v>5.3622170304728383E-17</v>
      </c>
    </row>
    <row r="13" spans="1:22">
      <c r="C13">
        <v>298.14999999999998</v>
      </c>
      <c r="D13" s="4">
        <v>23.225000000000001</v>
      </c>
      <c r="E13" s="4">
        <f t="shared" ref="E13:E23" si="0">D13/4.184</f>
        <v>5.5509082217973233</v>
      </c>
      <c r="F13">
        <f t="shared" ref="F13:F20" si="1">C13</f>
        <v>298.14999999999998</v>
      </c>
      <c r="G13">
        <f t="shared" ref="G13:G20" si="2">C13^-2</f>
        <v>1.1249426244107095E-5</v>
      </c>
      <c r="H13">
        <f t="shared" ref="H13:H20" si="3">C13^-0.5</f>
        <v>5.791387083143839E-2</v>
      </c>
      <c r="L13" t="s">
        <v>24</v>
      </c>
      <c r="M13">
        <v>7</v>
      </c>
      <c r="N13">
        <v>1.9123252699184789E-3</v>
      </c>
      <c r="O13">
        <v>2.7318932427406844E-4</v>
      </c>
    </row>
    <row r="14" spans="1:22" ht="13.5" thickBot="1">
      <c r="C14">
        <v>300</v>
      </c>
      <c r="D14" s="4">
        <v>23.276</v>
      </c>
      <c r="E14" s="4">
        <f t="shared" si="0"/>
        <v>5.5630975143403436</v>
      </c>
      <c r="F14">
        <f t="shared" si="1"/>
        <v>300</v>
      </c>
      <c r="G14">
        <f t="shared" si="2"/>
        <v>1.1111111111111112E-5</v>
      </c>
      <c r="H14">
        <f t="shared" si="3"/>
        <v>5.7735026918962568E-2</v>
      </c>
      <c r="L14" s="5" t="s">
        <v>25</v>
      </c>
      <c r="M14" s="5">
        <v>10</v>
      </c>
      <c r="N14" s="5">
        <v>108.43840018181811</v>
      </c>
      <c r="O14" s="5"/>
      <c r="P14" s="5"/>
      <c r="Q14" s="5"/>
    </row>
    <row r="15" spans="1:22" ht="13.5" thickBot="1">
      <c r="C15">
        <v>350</v>
      </c>
      <c r="D15" s="4">
        <v>24.414000000000001</v>
      </c>
      <c r="E15" s="4">
        <f t="shared" si="0"/>
        <v>5.8350860420650097</v>
      </c>
      <c r="F15">
        <f t="shared" si="1"/>
        <v>350</v>
      </c>
      <c r="G15">
        <f t="shared" si="2"/>
        <v>8.1632653061224483E-6</v>
      </c>
      <c r="H15">
        <f t="shared" si="3"/>
        <v>5.3452248382484871E-2</v>
      </c>
    </row>
    <row r="16" spans="1:22">
      <c r="C16">
        <v>368.3</v>
      </c>
      <c r="D16" s="4">
        <v>24.773</v>
      </c>
      <c r="E16" s="4">
        <f t="shared" si="0"/>
        <v>5.9208891013384317</v>
      </c>
      <c r="F16">
        <f t="shared" si="1"/>
        <v>368.3</v>
      </c>
      <c r="G16">
        <f t="shared" si="2"/>
        <v>7.3721907253564794E-6</v>
      </c>
      <c r="H16">
        <f t="shared" si="3"/>
        <v>5.2107368424713141E-2</v>
      </c>
      <c r="L16" s="6"/>
      <c r="M16" s="6" t="s">
        <v>32</v>
      </c>
      <c r="N16" s="6" t="s">
        <v>20</v>
      </c>
      <c r="O16" s="6" t="s">
        <v>33</v>
      </c>
      <c r="P16" s="6" t="s">
        <v>34</v>
      </c>
      <c r="Q16" s="6" t="s">
        <v>35</v>
      </c>
      <c r="R16" s="6" t="s">
        <v>36</v>
      </c>
      <c r="S16" s="6" t="s">
        <v>37</v>
      </c>
      <c r="T16" s="6" t="s">
        <v>38</v>
      </c>
    </row>
    <row r="17" spans="1:20">
      <c r="C17">
        <v>388.36</v>
      </c>
      <c r="D17" s="4">
        <v>25.167000000000002</v>
      </c>
      <c r="E17" s="4">
        <f t="shared" si="0"/>
        <v>6.0150573613766731</v>
      </c>
      <c r="F17">
        <f t="shared" si="1"/>
        <v>388.36</v>
      </c>
      <c r="G17">
        <f t="shared" si="2"/>
        <v>6.6302669607506544E-6</v>
      </c>
      <c r="H17">
        <f t="shared" si="3"/>
        <v>5.074377278915241E-2</v>
      </c>
      <c r="L17" t="s">
        <v>26</v>
      </c>
      <c r="M17">
        <v>11.835570582262584</v>
      </c>
      <c r="N17">
        <v>1.3387414483598317</v>
      </c>
      <c r="O17">
        <v>8.8408188128955114</v>
      </c>
      <c r="P17">
        <v>4.7899866563864824E-5</v>
      </c>
      <c r="Q17">
        <v>8.669950086858476</v>
      </c>
      <c r="R17">
        <v>15.001191077666691</v>
      </c>
      <c r="S17">
        <v>8.669950086858476</v>
      </c>
      <c r="T17">
        <v>15.001191077666691</v>
      </c>
    </row>
    <row r="18" spans="1:20">
      <c r="C18">
        <v>400</v>
      </c>
      <c r="D18" s="4">
        <v>25.396999999999998</v>
      </c>
      <c r="E18" s="4">
        <f t="shared" si="0"/>
        <v>6.0700286806883357</v>
      </c>
      <c r="F18">
        <f t="shared" si="1"/>
        <v>400</v>
      </c>
      <c r="G18">
        <f t="shared" si="2"/>
        <v>6.2500000000000003E-6</v>
      </c>
      <c r="H18">
        <f t="shared" si="3"/>
        <v>0.05</v>
      </c>
      <c r="L18" t="s">
        <v>39</v>
      </c>
      <c r="M18">
        <v>2.1932494500534552E-2</v>
      </c>
      <c r="N18">
        <v>6.0609496380222721E-4</v>
      </c>
      <c r="O18">
        <v>36.186564499637171</v>
      </c>
      <c r="P18">
        <v>3.1969792232969042E-9</v>
      </c>
      <c r="Q18">
        <v>2.0499307650359552E-2</v>
      </c>
      <c r="R18">
        <v>2.3365681350709551E-2</v>
      </c>
      <c r="S18">
        <v>2.0499307650359552E-2</v>
      </c>
      <c r="T18">
        <v>2.3365681350709551E-2</v>
      </c>
    </row>
    <row r="19" spans="1:20">
      <c r="C19">
        <v>450</v>
      </c>
      <c r="D19" s="4">
        <v>26.38</v>
      </c>
      <c r="E19" s="4">
        <f t="shared" si="0"/>
        <v>6.3049713193116634</v>
      </c>
      <c r="F19">
        <f t="shared" si="1"/>
        <v>450</v>
      </c>
      <c r="G19">
        <f t="shared" si="2"/>
        <v>4.9382716049382717E-6</v>
      </c>
      <c r="H19">
        <f t="shared" si="3"/>
        <v>4.7140452079103168E-2</v>
      </c>
      <c r="L19" t="s">
        <v>40</v>
      </c>
      <c r="M19">
        <v>-174251.23033714667</v>
      </c>
      <c r="N19">
        <v>30351.27099530496</v>
      </c>
      <c r="O19">
        <v>-5.7411510168421485</v>
      </c>
      <c r="P19">
        <v>7.0479794090417766E-4</v>
      </c>
      <c r="Q19">
        <v>-246020.58179930947</v>
      </c>
      <c r="R19">
        <v>-102481.87887498389</v>
      </c>
      <c r="S19">
        <v>-246020.58179930947</v>
      </c>
      <c r="T19">
        <v>-102481.87887498389</v>
      </c>
    </row>
    <row r="20" spans="1:20" ht="13.5" thickBot="1">
      <c r="C20">
        <v>500</v>
      </c>
      <c r="D20" s="4">
        <v>27.363</v>
      </c>
      <c r="E20" s="4">
        <f t="shared" si="0"/>
        <v>6.5399139579349903</v>
      </c>
      <c r="F20">
        <f t="shared" si="1"/>
        <v>500</v>
      </c>
      <c r="G20">
        <f t="shared" si="2"/>
        <v>3.9999999999999998E-6</v>
      </c>
      <c r="H20">
        <f t="shared" si="3"/>
        <v>4.4721359549995794E-2</v>
      </c>
      <c r="L20" s="5" t="s">
        <v>41</v>
      </c>
      <c r="M20" s="5">
        <v>117.75903608272407</v>
      </c>
      <c r="N20" s="5">
        <v>25.773949314291595</v>
      </c>
      <c r="O20" s="5">
        <v>4.5689170350555068</v>
      </c>
      <c r="P20" s="5">
        <v>2.5774475810865193E-3</v>
      </c>
      <c r="Q20" s="5">
        <v>56.813330474826934</v>
      </c>
      <c r="R20" s="5">
        <v>178.7047416906212</v>
      </c>
      <c r="S20" s="5">
        <v>56.813330474826934</v>
      </c>
      <c r="T20" s="5">
        <v>178.7047416906212</v>
      </c>
    </row>
    <row r="21" spans="1:20">
      <c r="C21">
        <v>600</v>
      </c>
      <c r="D21" s="4">
        <v>29.33</v>
      </c>
      <c r="E21" s="4">
        <f t="shared" si="0"/>
        <v>7.0100382409177815</v>
      </c>
      <c r="F21">
        <f t="shared" ref="F21:F23" si="4">C21</f>
        <v>600</v>
      </c>
      <c r="G21">
        <f t="shared" ref="G21:G23" si="5">C21^-2</f>
        <v>2.7777777777777779E-6</v>
      </c>
      <c r="H21">
        <f t="shared" ref="H21:H23" si="6">C21^-0.5</f>
        <v>4.0824829046386304E-2</v>
      </c>
    </row>
    <row r="22" spans="1:20">
      <c r="C22">
        <v>700</v>
      </c>
      <c r="D22" s="4">
        <v>31.295999999999999</v>
      </c>
      <c r="E22" s="4">
        <f t="shared" si="0"/>
        <v>7.4799235181644352</v>
      </c>
      <c r="F22">
        <f t="shared" si="4"/>
        <v>700</v>
      </c>
      <c r="G22">
        <f t="shared" si="5"/>
        <v>2.0408163265306121E-6</v>
      </c>
      <c r="H22">
        <f t="shared" si="6"/>
        <v>3.7796447300922721E-2</v>
      </c>
    </row>
    <row r="23" spans="1:20">
      <c r="C23">
        <v>800</v>
      </c>
      <c r="D23" s="4">
        <v>33.262999999999998</v>
      </c>
      <c r="E23" s="4">
        <f t="shared" si="0"/>
        <v>7.9500478011472264</v>
      </c>
      <c r="F23">
        <f t="shared" si="4"/>
        <v>800</v>
      </c>
      <c r="G23">
        <f t="shared" si="5"/>
        <v>1.5625000000000001E-6</v>
      </c>
      <c r="H23">
        <f t="shared" si="6"/>
        <v>3.5355339059327376E-2</v>
      </c>
    </row>
    <row r="25" spans="1:20">
      <c r="D25" s="21" t="s">
        <v>5</v>
      </c>
      <c r="E25" s="21" t="s">
        <v>6</v>
      </c>
      <c r="F25" s="21" t="s">
        <v>7</v>
      </c>
      <c r="G25" s="21" t="s">
        <v>9</v>
      </c>
    </row>
    <row r="26" spans="1:20">
      <c r="D26" s="21">
        <v>1</v>
      </c>
      <c r="E26" s="21" t="s">
        <v>11</v>
      </c>
      <c r="F26" s="21" t="s">
        <v>12</v>
      </c>
      <c r="G26" s="21" t="s">
        <v>13</v>
      </c>
    </row>
    <row r="27" spans="1:20">
      <c r="A27" s="2" t="s">
        <v>42</v>
      </c>
      <c r="D27" s="18">
        <f>M17</f>
        <v>11.835570582262584</v>
      </c>
      <c r="E27" s="18">
        <f>M18</f>
        <v>2.1932494500534552E-2</v>
      </c>
      <c r="F27" s="18">
        <f>+M19</f>
        <v>-174251.23033714667</v>
      </c>
      <c r="G27" s="18">
        <f>M20</f>
        <v>117.75903608272407</v>
      </c>
    </row>
    <row r="28" spans="1:20">
      <c r="A28" s="2" t="s">
        <v>45</v>
      </c>
      <c r="D28" s="12">
        <f>D27/4.184</f>
        <v>2.8287692596229883</v>
      </c>
      <c r="E28" s="12">
        <f>E27/4.184*1000</f>
        <v>5.2419919934356001</v>
      </c>
      <c r="F28" s="12">
        <f>F27/4.184/100000</f>
        <v>-0.4164704357962396</v>
      </c>
      <c r="G28" s="12">
        <f>G27/4.184</f>
        <v>28.145085105813589</v>
      </c>
    </row>
    <row r="30" spans="1:20">
      <c r="D30" s="18" t="s">
        <v>178</v>
      </c>
    </row>
    <row r="31" spans="1:20">
      <c r="C31">
        <v>298.14999999999998</v>
      </c>
      <c r="D31" s="13">
        <f>D$27+E$27*C31+F$27*C31^-2+G$27*C31^-0.5</f>
        <v>23.234399058903882</v>
      </c>
      <c r="E31" s="4">
        <f t="shared" ref="E31:E41" si="7">D31/4.184</f>
        <v>5.5531546507896463</v>
      </c>
    </row>
    <row r="32" spans="1:20">
      <c r="C32">
        <v>300</v>
      </c>
      <c r="D32" s="13">
        <f t="shared" ref="D32:D41" si="8">D$27+E$27*C32+F$27*C32^-2+G$27*C32^-0.5</f>
        <v>23.278015269086254</v>
      </c>
      <c r="E32" s="4">
        <f t="shared" si="7"/>
        <v>5.5635791752118191</v>
      </c>
    </row>
    <row r="33" spans="3:5">
      <c r="C33">
        <v>350</v>
      </c>
      <c r="D33" s="13">
        <f t="shared" si="8"/>
        <v>24.38396988026506</v>
      </c>
      <c r="E33" s="4">
        <f t="shared" si="7"/>
        <v>5.8279086711914578</v>
      </c>
    </row>
    <row r="34" spans="3:5">
      <c r="C34">
        <v>368.3</v>
      </c>
      <c r="D34" s="13">
        <f t="shared" si="8"/>
        <v>24.764808481137582</v>
      </c>
      <c r="E34" s="4">
        <f t="shared" si="7"/>
        <v>5.9189312813426342</v>
      </c>
    </row>
    <row r="35" spans="3:5">
      <c r="C35">
        <v>388.36</v>
      </c>
      <c r="D35" s="13">
        <f t="shared" si="8"/>
        <v>25.173479741966997</v>
      </c>
      <c r="E35" s="4">
        <f t="shared" si="7"/>
        <v>6.0166060568754771</v>
      </c>
    </row>
    <row r="36" spans="3:5">
      <c r="C36">
        <v>400</v>
      </c>
      <c r="D36" s="13">
        <f t="shared" si="8"/>
        <v>25.407449997005443</v>
      </c>
      <c r="E36" s="4">
        <f t="shared" si="7"/>
        <v>6.0725262899152588</v>
      </c>
    </row>
    <row r="37" spans="3:5">
      <c r="C37">
        <v>450</v>
      </c>
      <c r="D37" s="13">
        <f t="shared" si="8"/>
        <v>26.395907401942676</v>
      </c>
      <c r="E37" s="4">
        <f t="shared" si="7"/>
        <v>6.3087732796230105</v>
      </c>
    </row>
    <row r="38" spans="3:5">
      <c r="C38">
        <v>500</v>
      </c>
      <c r="D38" s="13">
        <f t="shared" si="8"/>
        <v>27.371157104097705</v>
      </c>
      <c r="E38" s="4">
        <f t="shared" si="7"/>
        <v>6.5418635526046138</v>
      </c>
    </row>
    <row r="39" spans="3:5">
      <c r="C39">
        <v>600</v>
      </c>
      <c r="D39" s="13">
        <f t="shared" si="8"/>
        <v>29.318528603946795</v>
      </c>
      <c r="E39" s="4">
        <f t="shared" si="7"/>
        <v>7.0072965114595585</v>
      </c>
    </row>
    <row r="40" spans="3:5">
      <c r="C40">
        <v>700</v>
      </c>
      <c r="D40" s="13">
        <f t="shared" si="8"/>
        <v>31.283575178354813</v>
      </c>
      <c r="E40" s="4">
        <f t="shared" si="7"/>
        <v>7.476953914520748</v>
      </c>
    </row>
    <row r="41" spans="3:5">
      <c r="C41">
        <v>800</v>
      </c>
      <c r="D41" s="13">
        <f t="shared" si="8"/>
        <v>33.272709283292706</v>
      </c>
      <c r="E41" s="4">
        <f t="shared" si="7"/>
        <v>7.9523683755479695</v>
      </c>
    </row>
  </sheetData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03B6-AC6D-4EE5-B725-FF7ACFDD54C8}">
  <dimension ref="A1:V50"/>
  <sheetViews>
    <sheetView workbookViewId="0">
      <selection activeCell="B15" sqref="B15"/>
    </sheetView>
  </sheetViews>
  <sheetFormatPr defaultRowHeight="12.75"/>
  <cols>
    <col min="1" max="1" width="23.28515625" bestFit="1" customWidth="1"/>
    <col min="2" max="2" width="7.5703125" bestFit="1" customWidth="1"/>
    <col min="3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>
      <c r="A1" s="2"/>
      <c r="B1" s="2"/>
      <c r="C1" s="21" t="s">
        <v>11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0</v>
      </c>
      <c r="L1" t="s">
        <v>15</v>
      </c>
    </row>
    <row r="2" spans="1:22" ht="13.5" thickBot="1">
      <c r="A2" s="2" t="s">
        <v>166</v>
      </c>
      <c r="D2" s="9">
        <v>32.06</v>
      </c>
      <c r="E2" s="9">
        <v>36.825000000000003</v>
      </c>
      <c r="F2" s="9">
        <v>17.809999999999999</v>
      </c>
      <c r="G2" s="9">
        <v>1.8540000000000001</v>
      </c>
      <c r="H2" s="9">
        <v>0.432</v>
      </c>
      <c r="I2" s="18" t="s">
        <v>65</v>
      </c>
    </row>
    <row r="3" spans="1:22">
      <c r="E3" s="13">
        <f>E2/4.184</f>
        <v>8.8013862332695982</v>
      </c>
      <c r="F3" s="13">
        <f>F2</f>
        <v>17.809999999999999</v>
      </c>
      <c r="G3" s="14">
        <f>G2/4.184*1000</f>
        <v>443.11663479923521</v>
      </c>
      <c r="H3" s="14">
        <f>H2/4.184*1000</f>
        <v>103.25047801147227</v>
      </c>
      <c r="I3" s="18" t="s">
        <v>167</v>
      </c>
      <c r="L3" s="7" t="s">
        <v>16</v>
      </c>
      <c r="M3" s="7"/>
      <c r="U3" s="1"/>
      <c r="V3" s="1"/>
    </row>
    <row r="4" spans="1:22">
      <c r="E4" s="15" t="s">
        <v>0</v>
      </c>
      <c r="F4" s="15" t="s">
        <v>4</v>
      </c>
      <c r="G4" s="16" t="s">
        <v>2</v>
      </c>
      <c r="H4" s="16" t="s">
        <v>3</v>
      </c>
      <c r="L4" t="s">
        <v>17</v>
      </c>
      <c r="M4">
        <v>1</v>
      </c>
    </row>
    <row r="5" spans="1:22">
      <c r="E5" s="11">
        <f>H3</f>
        <v>103.25047801147227</v>
      </c>
      <c r="F5" s="11">
        <f>G3</f>
        <v>443.11663479923521</v>
      </c>
      <c r="G5" s="10">
        <f>E3</f>
        <v>8.8013862332695982</v>
      </c>
      <c r="H5" s="10">
        <f>F3</f>
        <v>17.809999999999999</v>
      </c>
      <c r="L5" t="s">
        <v>18</v>
      </c>
      <c r="M5">
        <v>1</v>
      </c>
    </row>
    <row r="6" spans="1:22">
      <c r="L6" t="s">
        <v>19</v>
      </c>
      <c r="M6">
        <v>65535</v>
      </c>
    </row>
    <row r="7" spans="1:22" ht="15.75">
      <c r="C7" s="3"/>
      <c r="D7" s="21"/>
      <c r="E7" s="21"/>
      <c r="F7" s="21"/>
      <c r="G7" s="21"/>
      <c r="L7" t="s">
        <v>20</v>
      </c>
      <c r="M7">
        <v>0</v>
      </c>
    </row>
    <row r="8" spans="1:22" ht="16.5" thickBot="1">
      <c r="C8" s="3"/>
      <c r="D8" s="21"/>
      <c r="E8" s="21"/>
      <c r="F8" s="21"/>
      <c r="G8" s="21"/>
      <c r="L8" s="5" t="s">
        <v>21</v>
      </c>
      <c r="M8" s="5">
        <v>3</v>
      </c>
    </row>
    <row r="9" spans="1:22">
      <c r="D9" s="17"/>
      <c r="E9" s="17"/>
      <c r="F9" s="17"/>
      <c r="G9" s="17"/>
    </row>
    <row r="10" spans="1:22" ht="13.5" thickBot="1">
      <c r="D10" s="1"/>
      <c r="E10" s="1"/>
      <c r="F10" s="1"/>
      <c r="G10" s="1"/>
      <c r="H10" s="1"/>
      <c r="L10" t="s">
        <v>22</v>
      </c>
    </row>
    <row r="11" spans="1:22">
      <c r="L11" s="6"/>
      <c r="M11" s="6" t="s">
        <v>27</v>
      </c>
      <c r="N11" s="6" t="s">
        <v>28</v>
      </c>
      <c r="O11" s="6" t="s">
        <v>29</v>
      </c>
      <c r="P11" s="6" t="s">
        <v>30</v>
      </c>
      <c r="Q11" s="6" t="s">
        <v>31</v>
      </c>
    </row>
    <row r="12" spans="1:22">
      <c r="D12" s="21" t="s">
        <v>43</v>
      </c>
      <c r="E12" s="2" t="s">
        <v>44</v>
      </c>
      <c r="F12" s="2" t="s">
        <v>11</v>
      </c>
      <c r="G12" s="2" t="s">
        <v>12</v>
      </c>
      <c r="H12" s="2" t="s">
        <v>13</v>
      </c>
      <c r="L12" t="s">
        <v>23</v>
      </c>
      <c r="M12">
        <v>2</v>
      </c>
      <c r="N12">
        <v>329.73204866666674</v>
      </c>
      <c r="O12">
        <v>164.86602433333337</v>
      </c>
      <c r="P12" t="e">
        <v>#NUM!</v>
      </c>
      <c r="Q12" t="e">
        <v>#NUM!</v>
      </c>
    </row>
    <row r="13" spans="1:22">
      <c r="C13">
        <v>388.36</v>
      </c>
      <c r="D13" s="4">
        <v>31.058</v>
      </c>
      <c r="E13" s="4">
        <f t="shared" ref="E13" si="0">D13/4.184</f>
        <v>7.4230401529636705</v>
      </c>
      <c r="F13">
        <f t="shared" ref="F13:F15" si="1">C13</f>
        <v>388.36</v>
      </c>
      <c r="G13">
        <f t="shared" ref="G13:G15" si="2">C13^-2</f>
        <v>6.6302669607506544E-6</v>
      </c>
      <c r="H13">
        <f t="shared" ref="H13:H15" si="3">C13^-0.5</f>
        <v>5.074377278915241E-2</v>
      </c>
      <c r="L13" t="s">
        <v>24</v>
      </c>
      <c r="M13">
        <v>0</v>
      </c>
      <c r="N13">
        <v>0</v>
      </c>
      <c r="O13">
        <v>65535</v>
      </c>
    </row>
    <row r="14" spans="1:22" ht="13.5" thickBot="1">
      <c r="C14">
        <v>400</v>
      </c>
      <c r="D14" s="4">
        <v>32.161999999999999</v>
      </c>
      <c r="E14" s="4"/>
      <c r="F14">
        <f t="shared" si="1"/>
        <v>400</v>
      </c>
      <c r="G14">
        <f t="shared" si="2"/>
        <v>6.2500000000000003E-6</v>
      </c>
      <c r="H14">
        <f t="shared" si="3"/>
        <v>0.05</v>
      </c>
      <c r="L14" s="5" t="s">
        <v>25</v>
      </c>
      <c r="M14" s="5">
        <v>2</v>
      </c>
      <c r="N14" s="5">
        <v>329.73204866666674</v>
      </c>
      <c r="O14" s="5"/>
      <c r="P14" s="5"/>
      <c r="Q14" s="5"/>
    </row>
    <row r="15" spans="1:22" ht="13.5" thickBot="1">
      <c r="C15">
        <v>432.02</v>
      </c>
      <c r="D15" s="4">
        <v>53.829000000000001</v>
      </c>
      <c r="E15" s="4"/>
      <c r="F15">
        <f t="shared" si="1"/>
        <v>432.02</v>
      </c>
      <c r="G15">
        <f t="shared" si="2"/>
        <v>5.3578715161879054E-6</v>
      </c>
      <c r="H15">
        <f t="shared" si="3"/>
        <v>4.8111408755340965E-2</v>
      </c>
    </row>
    <row r="16" spans="1:22">
      <c r="D16" s="4"/>
      <c r="E16" s="4"/>
      <c r="L16" s="6"/>
      <c r="M16" s="6" t="s">
        <v>32</v>
      </c>
      <c r="N16" s="6" t="s">
        <v>20</v>
      </c>
      <c r="O16" s="6" t="s">
        <v>33</v>
      </c>
      <c r="P16" s="6" t="s">
        <v>34</v>
      </c>
      <c r="Q16" s="6" t="s">
        <v>35</v>
      </c>
      <c r="R16" s="6" t="s">
        <v>36</v>
      </c>
      <c r="S16" s="6" t="s">
        <v>37</v>
      </c>
      <c r="T16" s="6" t="s">
        <v>38</v>
      </c>
    </row>
    <row r="17" spans="1:20">
      <c r="D17" s="4"/>
      <c r="E17" s="4"/>
      <c r="L17" t="s">
        <v>26</v>
      </c>
      <c r="M17">
        <v>-2343.7366878936264</v>
      </c>
      <c r="N17">
        <v>0</v>
      </c>
      <c r="O17">
        <v>65535</v>
      </c>
      <c r="P17" t="e">
        <v>#NUM!</v>
      </c>
      <c r="Q17" t="e">
        <v>#VALUE!</v>
      </c>
      <c r="R17" t="e">
        <v>#VALUE!</v>
      </c>
      <c r="S17">
        <v>-2343.7366878936264</v>
      </c>
      <c r="T17">
        <v>-2343.7366878936264</v>
      </c>
    </row>
    <row r="18" spans="1:20">
      <c r="D18" s="4"/>
      <c r="E18" s="4"/>
      <c r="L18" t="s">
        <v>39</v>
      </c>
      <c r="M18">
        <v>4.0486915968748791</v>
      </c>
      <c r="N18">
        <v>0</v>
      </c>
      <c r="O18">
        <v>65535</v>
      </c>
      <c r="P18" t="e">
        <v>#NUM!</v>
      </c>
      <c r="Q18">
        <v>4.0486915968748791</v>
      </c>
      <c r="R18">
        <v>4.0486915968748791</v>
      </c>
      <c r="S18">
        <v>4.0486915968748791</v>
      </c>
      <c r="T18">
        <v>4.0486915968748791</v>
      </c>
    </row>
    <row r="19" spans="1:20" ht="13.5" thickBot="1">
      <c r="D19" s="4"/>
      <c r="E19" s="4"/>
      <c r="L19" s="5" t="s">
        <v>40</v>
      </c>
      <c r="M19" s="5">
        <v>121027527.86298797</v>
      </c>
      <c r="N19" s="5">
        <v>0</v>
      </c>
      <c r="O19" s="5">
        <v>65535</v>
      </c>
      <c r="P19" s="5" t="e">
        <v>#NUM!</v>
      </c>
      <c r="Q19" s="5">
        <v>121027527.86298797</v>
      </c>
      <c r="R19" s="5">
        <v>121027527.86298797</v>
      </c>
      <c r="S19" s="5">
        <v>121027527.86298797</v>
      </c>
      <c r="T19" s="5">
        <v>121027527.86298797</v>
      </c>
    </row>
    <row r="20" spans="1:20">
      <c r="D20" s="4"/>
      <c r="E20" s="4"/>
    </row>
    <row r="21" spans="1:20">
      <c r="D21" s="4"/>
      <c r="E21" s="4"/>
    </row>
    <row r="22" spans="1:20">
      <c r="D22" s="4"/>
      <c r="E22" s="4"/>
    </row>
    <row r="23" spans="1:20">
      <c r="D23" s="4"/>
      <c r="E23" s="4"/>
    </row>
    <row r="25" spans="1:20">
      <c r="D25" s="21" t="s">
        <v>5</v>
      </c>
      <c r="E25" s="21" t="s">
        <v>6</v>
      </c>
      <c r="F25" s="21" t="s">
        <v>7</v>
      </c>
      <c r="G25" s="21" t="s">
        <v>9</v>
      </c>
    </row>
    <row r="26" spans="1:20">
      <c r="D26" s="21">
        <v>1</v>
      </c>
      <c r="E26" s="21" t="s">
        <v>11</v>
      </c>
      <c r="F26" s="21" t="s">
        <v>12</v>
      </c>
      <c r="G26" s="21" t="s">
        <v>13</v>
      </c>
    </row>
    <row r="27" spans="1:20">
      <c r="A27" s="2" t="s">
        <v>42</v>
      </c>
      <c r="D27">
        <f>M17</f>
        <v>-2343.7366878936264</v>
      </c>
      <c r="E27">
        <f>M18</f>
        <v>4.0486915968748791</v>
      </c>
      <c r="F27">
        <f>+M19</f>
        <v>121027527.86298797</v>
      </c>
      <c r="G27">
        <f>M20</f>
        <v>0</v>
      </c>
    </row>
    <row r="28" spans="1:20">
      <c r="A28" s="2" t="s">
        <v>45</v>
      </c>
      <c r="D28" s="12">
        <f>D27/4.184</f>
        <v>-560.16651240287433</v>
      </c>
      <c r="E28" s="12">
        <f>E27/4.184*1000</f>
        <v>967.6605155054682</v>
      </c>
      <c r="F28" s="12">
        <f>F27/4.184/100000</f>
        <v>289.26273389815481</v>
      </c>
      <c r="G28" s="12">
        <f>G27/4.184</f>
        <v>0</v>
      </c>
    </row>
    <row r="30" spans="1:20">
      <c r="D30" s="18" t="s">
        <v>178</v>
      </c>
    </row>
    <row r="31" spans="1:20">
      <c r="B31">
        <f>C31-273.15</f>
        <v>25</v>
      </c>
      <c r="C31">
        <v>298.14999999999998</v>
      </c>
      <c r="D31" s="13">
        <f t="shared" ref="D31:D36" si="4">D$27+E$27*C31+F$27*C31^-2+G$27*C31^-0.5</f>
        <v>224.87095991591809</v>
      </c>
      <c r="E31" s="4">
        <f t="shared" ref="E31:E35" si="5">D31/4.184</f>
        <v>53.745449310687881</v>
      </c>
    </row>
    <row r="32" spans="1:20">
      <c r="B32">
        <f t="shared" ref="B32:B36" si="6">C32-273.15</f>
        <v>26.850000000000023</v>
      </c>
      <c r="C32">
        <v>300</v>
      </c>
      <c r="D32" s="13">
        <f t="shared" si="4"/>
        <v>215.62110075759256</v>
      </c>
      <c r="E32" s="4">
        <f t="shared" si="5"/>
        <v>51.53467991338254</v>
      </c>
    </row>
    <row r="33" spans="1:5">
      <c r="B33">
        <f t="shared" si="6"/>
        <v>76.850000000000023</v>
      </c>
      <c r="C33">
        <v>350</v>
      </c>
      <c r="D33" s="13">
        <f t="shared" si="4"/>
        <v>61.285190302279034</v>
      </c>
      <c r="E33" s="4">
        <f t="shared" si="5"/>
        <v>14.647512022533229</v>
      </c>
    </row>
    <row r="34" spans="1:5">
      <c r="B34">
        <f t="shared" si="6"/>
        <v>115.21000000000004</v>
      </c>
      <c r="C34">
        <v>388.36</v>
      </c>
      <c r="D34" s="13">
        <f t="shared" si="4"/>
        <v>31.058000000000106</v>
      </c>
      <c r="E34" s="4">
        <f t="shared" si="5"/>
        <v>7.4230401529636962</v>
      </c>
    </row>
    <row r="35" spans="1:5">
      <c r="B35">
        <f t="shared" si="6"/>
        <v>126.85000000000002</v>
      </c>
      <c r="C35">
        <v>400</v>
      </c>
      <c r="D35" s="13">
        <f t="shared" si="4"/>
        <v>32.162000000000148</v>
      </c>
      <c r="E35" s="4">
        <f t="shared" si="5"/>
        <v>7.686902485659691</v>
      </c>
    </row>
    <row r="36" spans="1:5">
      <c r="B36">
        <f t="shared" si="6"/>
        <v>158.87</v>
      </c>
      <c r="C36">
        <v>432.02</v>
      </c>
      <c r="D36" s="13">
        <f t="shared" si="4"/>
        <v>53.829000000000178</v>
      </c>
      <c r="E36" s="4">
        <f t="shared" ref="E36" si="7">D36/4.184</f>
        <v>12.865439770554536</v>
      </c>
    </row>
    <row r="37" spans="1:5">
      <c r="D37" s="13"/>
      <c r="E37" s="4"/>
    </row>
    <row r="38" spans="1:5">
      <c r="D38" s="13"/>
      <c r="E38" s="4"/>
    </row>
    <row r="39" spans="1:5">
      <c r="D39" s="13"/>
      <c r="E39" s="4"/>
    </row>
    <row r="40" spans="1:5">
      <c r="D40" s="13"/>
      <c r="E40" s="4"/>
    </row>
    <row r="41" spans="1:5">
      <c r="D41" s="13"/>
      <c r="E41" s="4"/>
    </row>
    <row r="42" spans="1:5">
      <c r="D42" s="13"/>
      <c r="E42" s="4"/>
    </row>
    <row r="43" spans="1:5">
      <c r="D43" s="13"/>
      <c r="E43" s="4"/>
    </row>
    <row r="44" spans="1:5">
      <c r="D44" s="13"/>
      <c r="E44" s="4"/>
    </row>
    <row r="47" spans="1:5">
      <c r="A47" t="s">
        <v>169</v>
      </c>
      <c r="B47">
        <v>1.8</v>
      </c>
      <c r="C47" s="32" t="s">
        <v>169</v>
      </c>
      <c r="D47" t="s">
        <v>172</v>
      </c>
    </row>
    <row r="48" spans="1:5">
      <c r="A48" t="s">
        <v>170</v>
      </c>
      <c r="B48">
        <f>1/B47</f>
        <v>0.55555555555555558</v>
      </c>
      <c r="C48" s="32" t="s">
        <v>169</v>
      </c>
      <c r="D48" t="s">
        <v>173</v>
      </c>
    </row>
    <row r="49" spans="1:2">
      <c r="A49" t="s">
        <v>168</v>
      </c>
      <c r="B49">
        <v>32.06</v>
      </c>
    </row>
    <row r="50" spans="1:2">
      <c r="A50" t="s">
        <v>171</v>
      </c>
      <c r="B50">
        <f>B48*B49</f>
        <v>17.811111111111114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C8DC-8C34-4B33-8945-D81A12FC97E1}">
  <dimension ref="B1:N33"/>
  <sheetViews>
    <sheetView workbookViewId="0">
      <selection activeCell="E3" sqref="E3"/>
    </sheetView>
  </sheetViews>
  <sheetFormatPr defaultRowHeight="12.75"/>
  <cols>
    <col min="4" max="4" width="9.5703125" bestFit="1" customWidth="1"/>
    <col min="11" max="11" width="14.85546875" customWidth="1"/>
    <col min="13" max="13" width="10.85546875" bestFit="1" customWidth="1"/>
  </cols>
  <sheetData>
    <row r="1" spans="2:14">
      <c r="B1" s="2" t="s">
        <v>67</v>
      </c>
      <c r="C1" s="2"/>
      <c r="D1" s="2"/>
      <c r="E1" s="2"/>
      <c r="F1" s="2"/>
      <c r="G1" s="2"/>
      <c r="H1" s="2"/>
      <c r="I1" s="2" t="s">
        <v>67</v>
      </c>
      <c r="J1" s="2"/>
    </row>
    <row r="2" spans="2:14">
      <c r="B2" s="2"/>
      <c r="C2" s="2"/>
      <c r="D2" s="2" t="s">
        <v>65</v>
      </c>
      <c r="E2" s="2" t="s">
        <v>65</v>
      </c>
      <c r="F2" s="2" t="s">
        <v>66</v>
      </c>
      <c r="G2" s="2" t="s">
        <v>66</v>
      </c>
      <c r="H2" s="2"/>
      <c r="I2" s="2"/>
      <c r="J2" s="2" t="s">
        <v>66</v>
      </c>
    </row>
    <row r="3" spans="2:14">
      <c r="B3" s="2" t="s">
        <v>59</v>
      </c>
      <c r="C3" s="2" t="s">
        <v>60</v>
      </c>
      <c r="D3" s="2" t="s">
        <v>61</v>
      </c>
      <c r="E3" s="2" t="s">
        <v>2</v>
      </c>
      <c r="F3" s="2" t="s">
        <v>61</v>
      </c>
      <c r="G3" s="2" t="s">
        <v>2</v>
      </c>
      <c r="H3" s="2"/>
      <c r="I3" s="2" t="s">
        <v>59</v>
      </c>
      <c r="J3" s="2" t="s">
        <v>61</v>
      </c>
    </row>
    <row r="4" spans="2:14">
      <c r="B4" s="13">
        <v>388.36</v>
      </c>
      <c r="C4" s="13">
        <f t="shared" ref="C4:C10" si="0">B4-273.15</f>
        <v>115.21000000000004</v>
      </c>
      <c r="D4" s="13">
        <v>31.058</v>
      </c>
      <c r="E4" s="13">
        <v>43.859000000000002</v>
      </c>
      <c r="F4" s="13">
        <f t="shared" ref="F4:F10" si="1">D4/4.184</f>
        <v>7.4230401529636705</v>
      </c>
      <c r="G4" s="13">
        <f t="shared" ref="G4:G10" si="2">E4/4.184</f>
        <v>10.482552581261951</v>
      </c>
      <c r="I4" s="13">
        <v>388.36</v>
      </c>
      <c r="J4" s="13">
        <v>7.4230401529636705</v>
      </c>
    </row>
    <row r="5" spans="2:14">
      <c r="B5" s="13">
        <v>400</v>
      </c>
      <c r="C5" s="13">
        <f t="shared" si="0"/>
        <v>126.85000000000002</v>
      </c>
      <c r="D5" s="13">
        <v>32.161999999999999</v>
      </c>
      <c r="E5" s="13">
        <v>44.792999999999999</v>
      </c>
      <c r="F5" s="13">
        <f t="shared" si="1"/>
        <v>7.6869024856596555</v>
      </c>
      <c r="G5" s="13">
        <f t="shared" si="2"/>
        <v>10.70578393881453</v>
      </c>
      <c r="I5" s="13">
        <v>400</v>
      </c>
      <c r="J5" s="13">
        <v>7.6869024856596555</v>
      </c>
    </row>
    <row r="6" spans="2:14">
      <c r="B6" s="13">
        <v>432.02</v>
      </c>
      <c r="C6" s="13">
        <f t="shared" si="0"/>
        <v>158.87</v>
      </c>
      <c r="D6" s="13">
        <v>53.808</v>
      </c>
      <c r="E6" s="13">
        <v>47.430999999999997</v>
      </c>
      <c r="F6" s="13">
        <f t="shared" si="1"/>
        <v>12.860420650095602</v>
      </c>
      <c r="G6" s="13">
        <f t="shared" si="2"/>
        <v>11.336281070745697</v>
      </c>
      <c r="I6" s="13">
        <v>432.02</v>
      </c>
      <c r="J6" s="13">
        <v>12.860420650095602</v>
      </c>
    </row>
    <row r="7" spans="2:14">
      <c r="B7" s="13">
        <v>432.02</v>
      </c>
      <c r="C7" s="13">
        <f t="shared" si="0"/>
        <v>158.87</v>
      </c>
      <c r="D7" s="13">
        <v>53.805999999999997</v>
      </c>
      <c r="E7" s="13">
        <v>47.430999999999997</v>
      </c>
      <c r="F7" s="13">
        <f t="shared" si="1"/>
        <v>12.859942638623325</v>
      </c>
      <c r="G7" s="13">
        <f t="shared" si="2"/>
        <v>11.336281070745697</v>
      </c>
      <c r="I7" s="13">
        <v>432.02</v>
      </c>
      <c r="J7" s="13">
        <v>12.859942638623325</v>
      </c>
    </row>
    <row r="8" spans="2:14">
      <c r="B8" s="13">
        <v>500</v>
      </c>
      <c r="C8" s="13">
        <f t="shared" si="0"/>
        <v>226.85000000000002</v>
      </c>
      <c r="D8" s="13">
        <v>37.985999999999997</v>
      </c>
      <c r="E8" s="13">
        <v>53.531999999999996</v>
      </c>
      <c r="F8" s="13">
        <f t="shared" si="1"/>
        <v>9.0788718929254291</v>
      </c>
      <c r="G8" s="13">
        <f t="shared" si="2"/>
        <v>12.794455066921605</v>
      </c>
      <c r="I8" s="13">
        <v>500</v>
      </c>
      <c r="J8" s="13">
        <v>9.0788718929254291</v>
      </c>
    </row>
    <row r="9" spans="2:14">
      <c r="B9" s="13">
        <v>600</v>
      </c>
      <c r="C9" s="13">
        <f t="shared" si="0"/>
        <v>326.85000000000002</v>
      </c>
      <c r="D9" s="13">
        <v>34.308</v>
      </c>
      <c r="E9" s="13">
        <v>60.078000000000003</v>
      </c>
      <c r="F9" s="13">
        <f t="shared" si="1"/>
        <v>8.199808795411089</v>
      </c>
      <c r="G9" s="13">
        <f t="shared" si="2"/>
        <v>14.358986615678777</v>
      </c>
      <c r="I9" s="13">
        <v>600</v>
      </c>
      <c r="J9" s="13">
        <v>8.199808795411089</v>
      </c>
    </row>
    <row r="10" spans="2:14">
      <c r="B10" s="13">
        <v>700</v>
      </c>
      <c r="C10" s="13">
        <f t="shared" si="0"/>
        <v>426.85</v>
      </c>
      <c r="D10" s="13">
        <v>32.680999999999997</v>
      </c>
      <c r="E10" s="13">
        <v>65.241</v>
      </c>
      <c r="F10" s="13">
        <f t="shared" si="1"/>
        <v>7.810946462715104</v>
      </c>
      <c r="G10" s="13">
        <f t="shared" si="2"/>
        <v>15.592973231357552</v>
      </c>
      <c r="I10" s="13">
        <v>700</v>
      </c>
      <c r="J10" s="13">
        <v>7.810946462715104</v>
      </c>
    </row>
    <row r="11" spans="2:14">
      <c r="B11" s="13">
        <v>800</v>
      </c>
      <c r="C11" s="13">
        <f>B11-273.15</f>
        <v>526.85</v>
      </c>
      <c r="D11" s="13">
        <v>31.699000000000002</v>
      </c>
      <c r="E11" s="13">
        <v>69.53</v>
      </c>
      <c r="F11" s="13">
        <f>D11/4.184</f>
        <v>7.5762428298279163</v>
      </c>
      <c r="G11" s="13">
        <f>E11/4.184</f>
        <v>16.618068833652007</v>
      </c>
      <c r="I11" s="13">
        <v>800</v>
      </c>
      <c r="J11" s="13">
        <v>7.5762428298279163</v>
      </c>
    </row>
    <row r="12" spans="2:14">
      <c r="B12" s="13">
        <v>882.11699999999996</v>
      </c>
      <c r="C12" s="13">
        <f>B12-273.15</f>
        <v>608.96699999999998</v>
      </c>
      <c r="D12" s="13">
        <v>31.664999999999999</v>
      </c>
      <c r="E12" s="13">
        <v>72.623999999999995</v>
      </c>
      <c r="F12" s="13">
        <f>D12/4.184</f>
        <v>7.5681166347992344</v>
      </c>
      <c r="G12" s="13">
        <f>E12/4.184</f>
        <v>17.357552581261949</v>
      </c>
      <c r="I12" s="13">
        <v>882.11699999999996</v>
      </c>
      <c r="J12" s="13">
        <v>7.5681166347992344</v>
      </c>
    </row>
    <row r="13" spans="2:14">
      <c r="B13" s="2"/>
      <c r="C13" s="2"/>
      <c r="D13" s="13"/>
      <c r="E13" s="13"/>
      <c r="F13" s="13"/>
    </row>
    <row r="14" spans="2:14" ht="13.5" thickBot="1">
      <c r="B14" s="2"/>
      <c r="C14" s="2"/>
      <c r="D14" s="13"/>
      <c r="E14" s="13"/>
      <c r="F14" s="13"/>
    </row>
    <row r="15" spans="2:14">
      <c r="B15" s="2" t="s">
        <v>59</v>
      </c>
      <c r="C15" s="2" t="s">
        <v>61</v>
      </c>
      <c r="D15" s="2" t="s">
        <v>11</v>
      </c>
      <c r="E15" s="2" t="s">
        <v>12</v>
      </c>
      <c r="F15" s="6"/>
      <c r="G15" s="6" t="s">
        <v>32</v>
      </c>
      <c r="I15" s="2" t="s">
        <v>59</v>
      </c>
      <c r="J15" s="2" t="s">
        <v>61</v>
      </c>
      <c r="K15" s="2" t="s">
        <v>11</v>
      </c>
      <c r="L15" s="2" t="s">
        <v>12</v>
      </c>
      <c r="M15" s="6"/>
      <c r="N15" s="6" t="s">
        <v>32</v>
      </c>
    </row>
    <row r="16" spans="2:14">
      <c r="B16" s="13">
        <v>388.36</v>
      </c>
      <c r="C16" s="13">
        <v>7.423</v>
      </c>
      <c r="D16">
        <f t="shared" ref="D16:D17" si="3">B16</f>
        <v>388.36</v>
      </c>
      <c r="E16">
        <f t="shared" ref="E16:E17" si="4">B16^-2</f>
        <v>6.6302669607506544E-6</v>
      </c>
      <c r="F16" t="s">
        <v>26</v>
      </c>
      <c r="G16">
        <v>-559.42872442261455</v>
      </c>
      <c r="I16" s="13">
        <v>432.02</v>
      </c>
      <c r="J16" s="13">
        <v>12.859942638623325</v>
      </c>
      <c r="K16">
        <f t="shared" ref="K16:K21" si="5">I16</f>
        <v>432.02</v>
      </c>
      <c r="L16">
        <f t="shared" ref="L16:L21" si="6">I16^-2</f>
        <v>5.3578715161879054E-6</v>
      </c>
      <c r="M16" t="s">
        <v>26</v>
      </c>
      <c r="N16">
        <v>-6.8677374049789579</v>
      </c>
    </row>
    <row r="17" spans="2:14">
      <c r="B17" s="13">
        <v>400</v>
      </c>
      <c r="C17" s="13">
        <v>7.6870000000000003</v>
      </c>
      <c r="D17">
        <f t="shared" si="3"/>
        <v>400</v>
      </c>
      <c r="E17">
        <f t="shared" si="4"/>
        <v>6.2500000000000003E-6</v>
      </c>
      <c r="F17" t="s">
        <v>39</v>
      </c>
      <c r="G17">
        <v>0.96641679545641501</v>
      </c>
      <c r="I17" s="13">
        <v>500</v>
      </c>
      <c r="J17" s="13">
        <v>9.0788718929254291</v>
      </c>
      <c r="K17">
        <f t="shared" si="5"/>
        <v>500</v>
      </c>
      <c r="L17">
        <f t="shared" si="6"/>
        <v>3.9999999999999998E-6</v>
      </c>
      <c r="M17" t="s">
        <v>39</v>
      </c>
      <c r="N17">
        <v>1.2916887212103746E-2</v>
      </c>
    </row>
    <row r="18" spans="2:14" ht="13.5" thickBot="1">
      <c r="B18" s="13">
        <v>432.02</v>
      </c>
      <c r="C18" s="13">
        <v>12.86</v>
      </c>
      <c r="D18">
        <f>B18</f>
        <v>432.02</v>
      </c>
      <c r="E18">
        <f>B18^-2</f>
        <v>5.3578715161879054E-6</v>
      </c>
      <c r="F18" s="5" t="s">
        <v>40</v>
      </c>
      <c r="G18" s="5">
        <v>28887840.998407755</v>
      </c>
      <c r="I18" s="13">
        <v>600</v>
      </c>
      <c r="J18" s="13">
        <v>8.199808795411089</v>
      </c>
      <c r="K18">
        <f t="shared" si="5"/>
        <v>600</v>
      </c>
      <c r="L18">
        <f t="shared" si="6"/>
        <v>2.7777777777777779E-6</v>
      </c>
      <c r="M18" s="5" t="s">
        <v>40</v>
      </c>
      <c r="N18" s="5">
        <v>2569410.1044347119</v>
      </c>
    </row>
    <row r="19" spans="2:14">
      <c r="B19" s="13"/>
      <c r="C19" s="13"/>
      <c r="D19" s="13"/>
      <c r="E19" s="13"/>
      <c r="I19" s="13">
        <v>700</v>
      </c>
      <c r="J19" s="13">
        <v>7.810946462715104</v>
      </c>
      <c r="K19">
        <f t="shared" si="5"/>
        <v>700</v>
      </c>
      <c r="L19">
        <f t="shared" si="6"/>
        <v>2.0408163265306121E-6</v>
      </c>
    </row>
    <row r="20" spans="2:14">
      <c r="B20" s="13"/>
      <c r="C20" s="13"/>
      <c r="E20" s="13"/>
      <c r="I20" s="13">
        <v>800</v>
      </c>
      <c r="J20" s="13">
        <v>7.5762428298279163</v>
      </c>
      <c r="K20">
        <f t="shared" si="5"/>
        <v>800</v>
      </c>
      <c r="L20">
        <f t="shared" si="6"/>
        <v>1.5625000000000001E-6</v>
      </c>
    </row>
    <row r="21" spans="2:14">
      <c r="B21" s="13"/>
      <c r="C21" s="13"/>
      <c r="E21" s="13"/>
      <c r="F21" s="13"/>
      <c r="I21" s="13">
        <v>882.11699999999996</v>
      </c>
      <c r="J21" s="13">
        <v>7.5681166347992344</v>
      </c>
      <c r="K21">
        <f t="shared" si="5"/>
        <v>882.11699999999996</v>
      </c>
      <c r="L21">
        <f t="shared" si="6"/>
        <v>1.2851316409555683E-6</v>
      </c>
    </row>
    <row r="22" spans="2:14">
      <c r="B22" s="13"/>
      <c r="C22" s="13"/>
      <c r="E22" s="13"/>
      <c r="F22" s="13"/>
    </row>
    <row r="23" spans="2:14" ht="15.75">
      <c r="B23" s="13"/>
      <c r="C23" s="13"/>
      <c r="D23" s="13"/>
      <c r="E23" s="13"/>
      <c r="F23" s="13"/>
      <c r="I23" s="2"/>
      <c r="J23" s="3"/>
      <c r="K23" s="21" t="s">
        <v>5</v>
      </c>
      <c r="L23" s="21" t="s">
        <v>6</v>
      </c>
      <c r="M23" s="21" t="s">
        <v>7</v>
      </c>
    </row>
    <row r="24" spans="2:14" ht="15.75">
      <c r="B24" s="13"/>
      <c r="C24" s="13"/>
      <c r="I24" s="2"/>
      <c r="J24" s="3"/>
      <c r="K24" s="21">
        <v>1</v>
      </c>
      <c r="L24" s="21" t="s">
        <v>11</v>
      </c>
      <c r="M24" s="21" t="s">
        <v>12</v>
      </c>
    </row>
    <row r="25" spans="2:14">
      <c r="B25" s="2" t="s">
        <v>72</v>
      </c>
      <c r="C25" s="2"/>
      <c r="I25" s="2" t="s">
        <v>62</v>
      </c>
      <c r="J25">
        <v>298.14999999999998</v>
      </c>
      <c r="K25" s="17">
        <v>-6.8677374049789579</v>
      </c>
      <c r="L25" s="17">
        <v>1.2916887212103746E-2</v>
      </c>
      <c r="M25" s="17">
        <v>2569410.1044347119</v>
      </c>
    </row>
    <row r="26" spans="2:14">
      <c r="B26" s="24">
        <v>388.36</v>
      </c>
      <c r="C26" s="2"/>
      <c r="I26" s="24">
        <v>432.02</v>
      </c>
      <c r="J26" s="2" t="s">
        <v>59</v>
      </c>
      <c r="K26" s="23" t="s">
        <v>64</v>
      </c>
      <c r="L26" s="2"/>
      <c r="M26" s="18"/>
      <c r="N26" t="s">
        <v>63</v>
      </c>
    </row>
    <row r="27" spans="2:14">
      <c r="B27" s="24" t="s">
        <v>73</v>
      </c>
      <c r="C27" s="2"/>
      <c r="I27" s="24" t="s">
        <v>73</v>
      </c>
      <c r="J27" s="13">
        <v>388.36</v>
      </c>
      <c r="K27" s="4">
        <f>K$25+L$25*J27+M$25*J27^-2</f>
        <v>15.18453983676601</v>
      </c>
      <c r="L27" s="4"/>
      <c r="N27" s="13">
        <v>7.423</v>
      </c>
    </row>
    <row r="28" spans="2:14">
      <c r="B28" s="24">
        <v>432.02</v>
      </c>
      <c r="C28" s="2"/>
      <c r="I28" s="24">
        <v>717.82399999999996</v>
      </c>
      <c r="J28" s="13">
        <v>400</v>
      </c>
      <c r="K28" s="4">
        <f t="shared" ref="K28:K33" si="7">K$25+L$25*J28+M$25*J28^-2</f>
        <v>14.357830632579493</v>
      </c>
      <c r="L28" s="4"/>
      <c r="N28" s="13">
        <v>7.6870000000000003</v>
      </c>
    </row>
    <row r="29" spans="2:14" ht="15">
      <c r="I29" s="2"/>
      <c r="J29" s="13">
        <v>432.02</v>
      </c>
      <c r="K29" s="20">
        <f t="shared" si="7"/>
        <v>12.479185420350236</v>
      </c>
      <c r="L29" s="4"/>
      <c r="N29" s="13">
        <v>12.86</v>
      </c>
    </row>
    <row r="30" spans="2:14" ht="15">
      <c r="I30" s="2"/>
      <c r="J30" s="13">
        <v>500</v>
      </c>
      <c r="K30" s="20">
        <f t="shared" si="7"/>
        <v>9.8683466188117634</v>
      </c>
      <c r="L30" s="4"/>
      <c r="N30" s="13">
        <v>9.0779999999999994</v>
      </c>
    </row>
    <row r="31" spans="2:14" ht="15">
      <c r="I31" s="2"/>
      <c r="J31" s="13">
        <v>600</v>
      </c>
      <c r="K31" s="20">
        <f t="shared" si="7"/>
        <v>8.0196452123797108</v>
      </c>
      <c r="L31" s="4"/>
      <c r="N31" s="13">
        <v>8.1999999999999993</v>
      </c>
    </row>
    <row r="32" spans="2:14" ht="15">
      <c r="I32" s="2"/>
      <c r="J32" s="13">
        <v>700</v>
      </c>
      <c r="K32" s="20">
        <f t="shared" si="7"/>
        <v>7.4177777341767488</v>
      </c>
      <c r="L32" s="4"/>
      <c r="N32" s="13">
        <v>7.7990000000000004</v>
      </c>
    </row>
    <row r="33" spans="9:14" ht="15">
      <c r="I33" s="2"/>
      <c r="J33" s="13">
        <v>717.82399999999996</v>
      </c>
      <c r="K33" s="20">
        <f t="shared" si="7"/>
        <v>7.3908332448151972</v>
      </c>
      <c r="L33" s="4"/>
      <c r="N33" s="13">
        <v>7.694</v>
      </c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4187BF1D69D42A75A215A0917265C" ma:contentTypeVersion="6" ma:contentTypeDescription="Create a new document." ma:contentTypeScope="" ma:versionID="e013a5884f97415770b7e35b3d54edc8">
  <xsd:schema xmlns:xsd="http://www.w3.org/2001/XMLSchema" xmlns:xs="http://www.w3.org/2001/XMLSchema" xmlns:p="http://schemas.microsoft.com/office/2006/metadata/properties" xmlns:ns3="0638136a-c651-4c14-a25b-0158f2a5090f" targetNamespace="http://schemas.microsoft.com/office/2006/metadata/properties" ma:root="true" ma:fieldsID="f6c05793d4ba7c53b76c961311d612eb" ns3:_="">
    <xsd:import namespace="0638136a-c651-4c14-a25b-0158f2a509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8136a-c651-4c14-a25b-0158f2a50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01B87F-0EBD-45C7-9BE5-E95133F348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03882-1B4D-4FB4-ACA4-6862DDCA2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38136a-c651-4c14-a25b-0158f2a509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3FAD9F-BD8F-41AB-8C59-3D543B327F19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0638136a-c651-4c14-a25b-0158f2a5090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graphs-JNF</vt:lpstr>
      <vt:lpstr>graphs old</vt:lpstr>
      <vt:lpstr>JANAF G, H</vt:lpstr>
      <vt:lpstr>ortho-HP</vt:lpstr>
      <vt:lpstr>ortho-JNF-CpOnly</vt:lpstr>
      <vt:lpstr>ortho-Barin-CpOnly</vt:lpstr>
      <vt:lpstr>mono-JNF</vt:lpstr>
      <vt:lpstr>liq-JNF</vt:lpstr>
      <vt:lpstr>liq-Pnkrz</vt:lpstr>
      <vt:lpstr>JNF-Raw</vt:lpstr>
      <vt:lpstr>References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James Palandri</cp:lastModifiedBy>
  <cp:lastPrinted>2010-02-02T01:29:33Z</cp:lastPrinted>
  <dcterms:created xsi:type="dcterms:W3CDTF">1996-10-14T23:33:28Z</dcterms:created>
  <dcterms:modified xsi:type="dcterms:W3CDTF">2023-11-07T00:29:37Z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0x01010098E4187BF1D69D42A75A215A0917265C</vt:lpwstr>
  </property>
</Properties>
</file>