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palandri\OneDrive - University Of Oregon\Desktop\"/>
    </mc:Choice>
  </mc:AlternateContent>
  <xr:revisionPtr revIDLastSave="73" documentId="13_ncr:1_{1C170FDB-44DF-44BE-80A1-0886D113D223}" xr6:coauthVersionLast="36" xr6:coauthVersionMax="36" xr10:uidLastSave="{4FD84FF7-6040-4D69-9053-1D1F4F3BFFA9}"/>
  <bookViews>
    <workbookView xWindow="1095" yWindow="90" windowWidth="28920" windowHeight="18120" xr2:uid="{00000000-000D-0000-FFFF-FFFF00000000}"/>
  </bookViews>
  <sheets>
    <sheet name="Summary" sheetId="24" r:id="rId1"/>
    <sheet name="HCl-RH95" sheetId="7" r:id="rId2"/>
    <sheet name="HCl-BoM#674" sheetId="20" r:id="rId3"/>
    <sheet name="HCl-JANAF-4th" sheetId="22" r:id="rId4"/>
    <sheet name="HF-RH95" sheetId="8" r:id="rId5"/>
    <sheet name="HF-BoM#674" sheetId="21" r:id="rId6"/>
    <sheet name="HF-JANAF-4th" sheetId="23" r:id="rId7"/>
    <sheet name="Template" sheetId="1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4" l="1"/>
  <c r="M10" i="24"/>
  <c r="N9" i="24"/>
  <c r="M9" i="24"/>
  <c r="N8" i="24"/>
  <c r="M8" i="24"/>
  <c r="N6" i="24"/>
  <c r="M6" i="24"/>
  <c r="N5" i="24"/>
  <c r="M5" i="24"/>
  <c r="N4" i="24"/>
  <c r="M4" i="24"/>
  <c r="D5" i="21" l="1"/>
  <c r="E5" i="21"/>
  <c r="F5" i="21"/>
  <c r="G5" i="21"/>
  <c r="N10" i="23"/>
  <c r="F32" i="23"/>
  <c r="E32" i="23"/>
  <c r="D32" i="23"/>
  <c r="F31" i="23"/>
  <c r="E31" i="23"/>
  <c r="D31" i="23"/>
  <c r="F30" i="23"/>
  <c r="E30" i="23"/>
  <c r="D30" i="23"/>
  <c r="F29" i="23"/>
  <c r="E29" i="23"/>
  <c r="D29" i="23"/>
  <c r="F28" i="23"/>
  <c r="E28" i="23"/>
  <c r="D28" i="23"/>
  <c r="F27" i="23"/>
  <c r="E27" i="23"/>
  <c r="D27" i="23"/>
  <c r="F26" i="23"/>
  <c r="E26" i="23"/>
  <c r="D26" i="23"/>
  <c r="F25" i="23"/>
  <c r="E25" i="23"/>
  <c r="D25" i="23"/>
  <c r="F24" i="23"/>
  <c r="E24" i="23"/>
  <c r="D24" i="23"/>
  <c r="F23" i="23"/>
  <c r="E23" i="23"/>
  <c r="D23" i="23"/>
  <c r="F22" i="23"/>
  <c r="E22" i="23"/>
  <c r="D22" i="23"/>
  <c r="F21" i="23"/>
  <c r="E21" i="23"/>
  <c r="D21" i="23"/>
  <c r="F20" i="23"/>
  <c r="E20" i="23"/>
  <c r="D20" i="23"/>
  <c r="F19" i="23"/>
  <c r="E19" i="23"/>
  <c r="D19" i="23"/>
  <c r="F18" i="23"/>
  <c r="E18" i="23"/>
  <c r="D18" i="23"/>
  <c r="F17" i="23"/>
  <c r="E17" i="23"/>
  <c r="D17" i="23"/>
  <c r="F16" i="23"/>
  <c r="E16" i="23"/>
  <c r="D16" i="23"/>
  <c r="O11" i="23"/>
  <c r="M11" i="23"/>
  <c r="O9" i="23"/>
  <c r="N9" i="23"/>
  <c r="N11" i="23" s="1"/>
  <c r="M9" i="23"/>
  <c r="L9" i="23"/>
  <c r="G5" i="23"/>
  <c r="D7" i="23" s="1"/>
  <c r="F5" i="23"/>
  <c r="E7" i="23" s="1"/>
  <c r="E5" i="23"/>
  <c r="G7" i="23" s="1"/>
  <c r="D5" i="23"/>
  <c r="F7" i="23" s="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F21" i="22"/>
  <c r="E21" i="22"/>
  <c r="D21" i="22"/>
  <c r="F20" i="22"/>
  <c r="E20" i="22"/>
  <c r="D20" i="22"/>
  <c r="F19" i="22"/>
  <c r="E19" i="22"/>
  <c r="D19" i="22"/>
  <c r="F18" i="22"/>
  <c r="E18" i="22"/>
  <c r="D18" i="22"/>
  <c r="F17" i="22"/>
  <c r="E17" i="22"/>
  <c r="D17" i="22"/>
  <c r="F16" i="22"/>
  <c r="E16" i="22"/>
  <c r="D16" i="22"/>
  <c r="N10" i="22"/>
  <c r="O9" i="22"/>
  <c r="O11" i="22" s="1"/>
  <c r="N9" i="22"/>
  <c r="N11" i="22" s="1"/>
  <c r="M9" i="22"/>
  <c r="M11" i="22" s="1"/>
  <c r="L9" i="22"/>
  <c r="L11" i="22" s="1"/>
  <c r="G5" i="22"/>
  <c r="D7" i="22" s="1"/>
  <c r="F5" i="22"/>
  <c r="E7" i="22" s="1"/>
  <c r="E5" i="22"/>
  <c r="G7" i="22" s="1"/>
  <c r="D5" i="22"/>
  <c r="F7" i="22" s="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F21" i="21"/>
  <c r="E21" i="21"/>
  <c r="D21" i="21"/>
  <c r="F20" i="21"/>
  <c r="E20" i="21"/>
  <c r="D20" i="21"/>
  <c r="F19" i="21"/>
  <c r="E19" i="21"/>
  <c r="D19" i="21"/>
  <c r="F18" i="21"/>
  <c r="E18" i="21"/>
  <c r="D18" i="21"/>
  <c r="F17" i="21"/>
  <c r="E17" i="21"/>
  <c r="D17" i="21"/>
  <c r="F16" i="21"/>
  <c r="E16" i="21"/>
  <c r="D16" i="21"/>
  <c r="N11" i="21"/>
  <c r="N10" i="21"/>
  <c r="O9" i="21"/>
  <c r="O11" i="21" s="1"/>
  <c r="N9" i="21"/>
  <c r="M9" i="21"/>
  <c r="M11" i="21" s="1"/>
  <c r="L9" i="21"/>
  <c r="N32" i="23" l="1"/>
  <c r="N20" i="23"/>
  <c r="N19" i="23"/>
  <c r="N25" i="23"/>
  <c r="N31" i="23"/>
  <c r="N18" i="23"/>
  <c r="N24" i="23"/>
  <c r="N30" i="23"/>
  <c r="L11" i="23"/>
  <c r="N17" i="23"/>
  <c r="N23" i="23"/>
  <c r="N29" i="23"/>
  <c r="N16" i="23"/>
  <c r="N22" i="23"/>
  <c r="N28" i="23"/>
  <c r="N21" i="23"/>
  <c r="N27" i="23"/>
  <c r="N26" i="23"/>
  <c r="O32" i="22"/>
  <c r="N32" i="22"/>
  <c r="O18" i="22"/>
  <c r="O22" i="22"/>
  <c r="O30" i="22"/>
  <c r="O16" i="22"/>
  <c r="O24" i="22"/>
  <c r="O28" i="22"/>
  <c r="N17" i="22"/>
  <c r="N19" i="22"/>
  <c r="N21" i="22"/>
  <c r="N23" i="22"/>
  <c r="N25" i="22"/>
  <c r="N27" i="22"/>
  <c r="N29" i="22"/>
  <c r="N31" i="22"/>
  <c r="O17" i="22"/>
  <c r="O19" i="22"/>
  <c r="O21" i="22"/>
  <c r="O23" i="22"/>
  <c r="O25" i="22"/>
  <c r="O27" i="22"/>
  <c r="O29" i="22"/>
  <c r="O31" i="22"/>
  <c r="N16" i="22"/>
  <c r="N18" i="22"/>
  <c r="N20" i="22"/>
  <c r="N22" i="22"/>
  <c r="N24" i="22"/>
  <c r="N26" i="22"/>
  <c r="N28" i="22"/>
  <c r="N30" i="22"/>
  <c r="O20" i="22"/>
  <c r="O26" i="22"/>
  <c r="N32" i="21"/>
  <c r="M32" i="21" s="1"/>
  <c r="L11" i="21"/>
  <c r="O32" i="21" s="1"/>
  <c r="N16" i="21"/>
  <c r="M16" i="21" s="1"/>
  <c r="N17" i="21"/>
  <c r="M17" i="21" s="1"/>
  <c r="N18" i="21"/>
  <c r="M18" i="21" s="1"/>
  <c r="N19" i="21"/>
  <c r="M19" i="21" s="1"/>
  <c r="N20" i="21"/>
  <c r="M20" i="21" s="1"/>
  <c r="N21" i="21"/>
  <c r="M21" i="21" s="1"/>
  <c r="N22" i="21"/>
  <c r="M22" i="21" s="1"/>
  <c r="N23" i="21"/>
  <c r="M23" i="21" s="1"/>
  <c r="N24" i="21"/>
  <c r="M24" i="21" s="1"/>
  <c r="N25" i="21"/>
  <c r="M25" i="21" s="1"/>
  <c r="N26" i="21"/>
  <c r="M26" i="21" s="1"/>
  <c r="N27" i="21"/>
  <c r="M27" i="21" s="1"/>
  <c r="N28" i="21"/>
  <c r="M28" i="21" s="1"/>
  <c r="N29" i="21"/>
  <c r="M29" i="21" s="1"/>
  <c r="N30" i="21"/>
  <c r="M30" i="21" s="1"/>
  <c r="N31" i="21"/>
  <c r="M31" i="21" s="1"/>
  <c r="O23" i="21"/>
  <c r="O29" i="21"/>
  <c r="O28" i="23" l="1"/>
  <c r="O22" i="23"/>
  <c r="O16" i="23"/>
  <c r="O29" i="23"/>
  <c r="O23" i="23"/>
  <c r="O17" i="23"/>
  <c r="O30" i="23"/>
  <c r="O24" i="23"/>
  <c r="O18" i="23"/>
  <c r="O31" i="23"/>
  <c r="O25" i="23"/>
  <c r="O19" i="23"/>
  <c r="O32" i="23"/>
  <c r="O26" i="23"/>
  <c r="O20" i="23"/>
  <c r="O27" i="23"/>
  <c r="O21" i="23"/>
  <c r="O17" i="21"/>
  <c r="O28" i="21"/>
  <c r="O31" i="21"/>
  <c r="O25" i="21"/>
  <c r="O19" i="21"/>
  <c r="O22" i="21"/>
  <c r="O16" i="21"/>
  <c r="O27" i="21"/>
  <c r="O21" i="21"/>
  <c r="O26" i="21"/>
  <c r="O20" i="21"/>
  <c r="O30" i="21"/>
  <c r="O24" i="21"/>
  <c r="O18" i="21"/>
  <c r="L9" i="20" l="1"/>
  <c r="L11" i="20" s="1"/>
  <c r="M9" i="20"/>
  <c r="M11" i="20" s="1"/>
  <c r="N9" i="20"/>
  <c r="N11" i="20" s="1"/>
  <c r="O9" i="20"/>
  <c r="O11" i="20" s="1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F21" i="20"/>
  <c r="E21" i="20"/>
  <c r="D21" i="20"/>
  <c r="F20" i="20"/>
  <c r="E20" i="20"/>
  <c r="D20" i="20"/>
  <c r="F19" i="20"/>
  <c r="E19" i="20"/>
  <c r="D19" i="20"/>
  <c r="F18" i="20"/>
  <c r="E18" i="20"/>
  <c r="D18" i="20"/>
  <c r="F17" i="20"/>
  <c r="E17" i="20"/>
  <c r="D17" i="20"/>
  <c r="F16" i="20"/>
  <c r="E16" i="20"/>
  <c r="D16" i="20"/>
  <c r="N10" i="20"/>
  <c r="O24" i="20" l="1"/>
  <c r="N16" i="20"/>
  <c r="M16" i="20" s="1"/>
  <c r="N23" i="20"/>
  <c r="M23" i="20" s="1"/>
  <c r="O30" i="20"/>
  <c r="O28" i="20"/>
  <c r="O26" i="20"/>
  <c r="O18" i="20"/>
  <c r="O16" i="20"/>
  <c r="O23" i="20"/>
  <c r="O25" i="20"/>
  <c r="O29" i="20"/>
  <c r="O27" i="20"/>
  <c r="N17" i="20"/>
  <c r="M17" i="20" s="1"/>
  <c r="N19" i="20"/>
  <c r="M19" i="20" s="1"/>
  <c r="N31" i="20"/>
  <c r="M31" i="20" s="1"/>
  <c r="N21" i="20"/>
  <c r="M21" i="20" s="1"/>
  <c r="N20" i="20"/>
  <c r="M20" i="20" s="1"/>
  <c r="N26" i="20"/>
  <c r="M26" i="20" s="1"/>
  <c r="N30" i="20"/>
  <c r="M30" i="20" s="1"/>
  <c r="N32" i="20"/>
  <c r="M32" i="20" s="1"/>
  <c r="N25" i="20"/>
  <c r="M25" i="20" s="1"/>
  <c r="N27" i="20"/>
  <c r="M27" i="20" s="1"/>
  <c r="N29" i="20"/>
  <c r="M29" i="20" s="1"/>
  <c r="N18" i="20"/>
  <c r="M18" i="20" s="1"/>
  <c r="N22" i="20"/>
  <c r="M22" i="20" s="1"/>
  <c r="N24" i="20"/>
  <c r="M24" i="20" s="1"/>
  <c r="N28" i="20"/>
  <c r="M28" i="20" s="1"/>
  <c r="O31" i="20" l="1"/>
  <c r="O20" i="20"/>
  <c r="O32" i="20"/>
  <c r="O17" i="20"/>
  <c r="O22" i="20"/>
  <c r="O21" i="20"/>
  <c r="O19" i="20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16" i="11"/>
  <c r="J32" i="11" l="1"/>
  <c r="K32" i="11" s="1"/>
  <c r="F32" i="11"/>
  <c r="E32" i="11"/>
  <c r="D32" i="11"/>
  <c r="J31" i="1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M11" i="11"/>
  <c r="L11" i="11"/>
  <c r="N10" i="11"/>
  <c r="O9" i="11"/>
  <c r="O11" i="11" s="1"/>
  <c r="N9" i="11"/>
  <c r="N11" i="11" s="1"/>
  <c r="M9" i="11"/>
  <c r="L9" i="11"/>
  <c r="N31" i="11" s="1"/>
  <c r="N6" i="11"/>
  <c r="O5" i="11"/>
  <c r="N5" i="11"/>
  <c r="N7" i="11" s="1"/>
  <c r="M5" i="11"/>
  <c r="M7" i="11" s="1"/>
  <c r="L5" i="11"/>
  <c r="G5" i="11"/>
  <c r="D7" i="11" s="1"/>
  <c r="F5" i="11"/>
  <c r="E7" i="11" s="1"/>
  <c r="E5" i="11"/>
  <c r="G7" i="11" s="1"/>
  <c r="D5" i="11"/>
  <c r="F7" i="11" s="1"/>
  <c r="L7" i="11" l="1"/>
  <c r="N16" i="11"/>
  <c r="N18" i="11"/>
  <c r="N20" i="11"/>
  <c r="N22" i="11"/>
  <c r="N24" i="11"/>
  <c r="N26" i="11"/>
  <c r="N28" i="11"/>
  <c r="N30" i="11"/>
  <c r="N32" i="11"/>
  <c r="O7" i="11"/>
  <c r="N17" i="11"/>
  <c r="N19" i="11"/>
  <c r="N21" i="11"/>
  <c r="N23" i="11"/>
  <c r="N25" i="11"/>
  <c r="N27" i="11"/>
  <c r="N29" i="11"/>
  <c r="L16" i="11"/>
  <c r="J32" i="8"/>
  <c r="K32" i="8" s="1"/>
  <c r="F32" i="8"/>
  <c r="E32" i="8"/>
  <c r="D32" i="8"/>
  <c r="J31" i="8"/>
  <c r="K31" i="8" s="1"/>
  <c r="F31" i="8"/>
  <c r="E31" i="8"/>
  <c r="D31" i="8"/>
  <c r="J30" i="8"/>
  <c r="K30" i="8" s="1"/>
  <c r="F30" i="8"/>
  <c r="E30" i="8"/>
  <c r="D30" i="8"/>
  <c r="J29" i="8"/>
  <c r="K29" i="8" s="1"/>
  <c r="F29" i="8"/>
  <c r="E29" i="8"/>
  <c r="D29" i="8"/>
  <c r="J28" i="8"/>
  <c r="K28" i="8" s="1"/>
  <c r="F28" i="8"/>
  <c r="E28" i="8"/>
  <c r="D28" i="8"/>
  <c r="J27" i="8"/>
  <c r="K27" i="8" s="1"/>
  <c r="F27" i="8"/>
  <c r="E27" i="8"/>
  <c r="D27" i="8"/>
  <c r="J26" i="8"/>
  <c r="K26" i="8" s="1"/>
  <c r="F26" i="8"/>
  <c r="E26" i="8"/>
  <c r="D26" i="8"/>
  <c r="J25" i="8"/>
  <c r="K25" i="8" s="1"/>
  <c r="F25" i="8"/>
  <c r="E25" i="8"/>
  <c r="D25" i="8"/>
  <c r="J24" i="8"/>
  <c r="K24" i="8" s="1"/>
  <c r="F24" i="8"/>
  <c r="E24" i="8"/>
  <c r="D24" i="8"/>
  <c r="J23" i="8"/>
  <c r="K23" i="8" s="1"/>
  <c r="F23" i="8"/>
  <c r="E23" i="8"/>
  <c r="D23" i="8"/>
  <c r="J22" i="8"/>
  <c r="K22" i="8" s="1"/>
  <c r="F22" i="8"/>
  <c r="E22" i="8"/>
  <c r="D22" i="8"/>
  <c r="J21" i="8"/>
  <c r="K21" i="8" s="1"/>
  <c r="F21" i="8"/>
  <c r="E21" i="8"/>
  <c r="D21" i="8"/>
  <c r="J20" i="8"/>
  <c r="K20" i="8" s="1"/>
  <c r="F20" i="8"/>
  <c r="E20" i="8"/>
  <c r="D20" i="8"/>
  <c r="J19" i="8"/>
  <c r="K19" i="8" s="1"/>
  <c r="F19" i="8"/>
  <c r="E19" i="8"/>
  <c r="D19" i="8"/>
  <c r="J18" i="8"/>
  <c r="K18" i="8" s="1"/>
  <c r="F18" i="8"/>
  <c r="E18" i="8"/>
  <c r="D18" i="8"/>
  <c r="J17" i="8"/>
  <c r="K17" i="8" s="1"/>
  <c r="F17" i="8"/>
  <c r="E17" i="8"/>
  <c r="D17" i="8"/>
  <c r="J16" i="8"/>
  <c r="K16" i="8" s="1"/>
  <c r="F16" i="8"/>
  <c r="E16" i="8"/>
  <c r="D16" i="8"/>
  <c r="N10" i="8"/>
  <c r="O9" i="8"/>
  <c r="O11" i="8" s="1"/>
  <c r="N9" i="8"/>
  <c r="N11" i="8" s="1"/>
  <c r="M9" i="8"/>
  <c r="M11" i="8" s="1"/>
  <c r="L9" i="8"/>
  <c r="N6" i="8"/>
  <c r="O5" i="8"/>
  <c r="O7" i="8" s="1"/>
  <c r="N5" i="8"/>
  <c r="M5" i="8"/>
  <c r="M7" i="8" s="1"/>
  <c r="L5" i="8"/>
  <c r="G5" i="8"/>
  <c r="D7" i="8" s="1"/>
  <c r="F5" i="8"/>
  <c r="E7" i="8" s="1"/>
  <c r="E5" i="8"/>
  <c r="G7" i="8" s="1"/>
  <c r="D5" i="8"/>
  <c r="F7" i="8" s="1"/>
  <c r="N23" i="7"/>
  <c r="N17" i="7"/>
  <c r="O9" i="7"/>
  <c r="O11" i="7" s="1"/>
  <c r="N9" i="7"/>
  <c r="N11" i="7" s="1"/>
  <c r="M9" i="7"/>
  <c r="M11" i="7" s="1"/>
  <c r="L9" i="7"/>
  <c r="L11" i="7" s="1"/>
  <c r="N10" i="7"/>
  <c r="N29" i="7" l="1"/>
  <c r="M16" i="11"/>
  <c r="N24" i="7"/>
  <c r="N32" i="7"/>
  <c r="N30" i="7"/>
  <c r="N19" i="7"/>
  <c r="N25" i="7"/>
  <c r="N31" i="7"/>
  <c r="N20" i="7"/>
  <c r="N26" i="7"/>
  <c r="N21" i="7"/>
  <c r="N27" i="7"/>
  <c r="N18" i="7"/>
  <c r="N16" i="7"/>
  <c r="N22" i="7"/>
  <c r="N28" i="7"/>
  <c r="N32" i="8"/>
  <c r="L11" i="8"/>
  <c r="L32" i="8"/>
  <c r="L17" i="8"/>
  <c r="L21" i="8"/>
  <c r="L31" i="8"/>
  <c r="L27" i="8"/>
  <c r="L29" i="8"/>
  <c r="L7" i="8"/>
  <c r="N17" i="8"/>
  <c r="N19" i="8"/>
  <c r="N21" i="8"/>
  <c r="N23" i="8"/>
  <c r="N25" i="8"/>
  <c r="N27" i="8"/>
  <c r="N29" i="8"/>
  <c r="N31" i="8"/>
  <c r="L19" i="8"/>
  <c r="L23" i="8"/>
  <c r="N7" i="8"/>
  <c r="L16" i="8"/>
  <c r="L18" i="8"/>
  <c r="L20" i="8"/>
  <c r="L22" i="8"/>
  <c r="L24" i="8"/>
  <c r="L26" i="8"/>
  <c r="L28" i="8"/>
  <c r="L30" i="8"/>
  <c r="L25" i="8"/>
  <c r="N16" i="8"/>
  <c r="N18" i="8"/>
  <c r="N20" i="8"/>
  <c r="N22" i="8"/>
  <c r="N24" i="8"/>
  <c r="N26" i="8"/>
  <c r="N28" i="8"/>
  <c r="N30" i="8"/>
  <c r="O32" i="8" l="1"/>
  <c r="O26" i="8"/>
  <c r="O20" i="8"/>
  <c r="O29" i="8"/>
  <c r="O23" i="8"/>
  <c r="O17" i="8"/>
  <c r="O27" i="8"/>
  <c r="O25" i="8"/>
  <c r="O30" i="8"/>
  <c r="O28" i="8"/>
  <c r="O22" i="8"/>
  <c r="O16" i="8"/>
  <c r="O21" i="8"/>
  <c r="O31" i="8"/>
  <c r="O19" i="8"/>
  <c r="O24" i="8"/>
  <c r="O18" i="8"/>
  <c r="M24" i="8"/>
  <c r="M20" i="8"/>
  <c r="M18" i="8"/>
  <c r="M32" i="8"/>
  <c r="M30" i="8"/>
  <c r="M28" i="8"/>
  <c r="M26" i="8"/>
  <c r="M22" i="8"/>
  <c r="M16" i="8"/>
  <c r="M19" i="8"/>
  <c r="M31" i="8"/>
  <c r="M29" i="8"/>
  <c r="M27" i="8"/>
  <c r="M25" i="8"/>
  <c r="M23" i="8"/>
  <c r="M21" i="8"/>
  <c r="M17" i="8"/>
  <c r="D32" i="7" l="1"/>
  <c r="O32" i="7" s="1"/>
  <c r="E32" i="7"/>
  <c r="F32" i="7"/>
  <c r="J32" i="7"/>
  <c r="K32" i="7" s="1"/>
  <c r="D31" i="7"/>
  <c r="O31" i="7" s="1"/>
  <c r="E31" i="7"/>
  <c r="F31" i="7"/>
  <c r="J31" i="7"/>
  <c r="K31" i="7" s="1"/>
  <c r="D30" i="7"/>
  <c r="O30" i="7" s="1"/>
  <c r="E30" i="7"/>
  <c r="F30" i="7"/>
  <c r="J30" i="7"/>
  <c r="K30" i="7" s="1"/>
  <c r="D29" i="7"/>
  <c r="O29" i="7" s="1"/>
  <c r="E29" i="7"/>
  <c r="F29" i="7"/>
  <c r="J29" i="7"/>
  <c r="K29" i="7" s="1"/>
  <c r="D28" i="7"/>
  <c r="O28" i="7" s="1"/>
  <c r="E28" i="7"/>
  <c r="F28" i="7"/>
  <c r="J28" i="7"/>
  <c r="K28" i="7" s="1"/>
  <c r="D27" i="7"/>
  <c r="O27" i="7" s="1"/>
  <c r="E27" i="7"/>
  <c r="F27" i="7"/>
  <c r="J27" i="7"/>
  <c r="K27" i="7" s="1"/>
  <c r="D26" i="7"/>
  <c r="O26" i="7" s="1"/>
  <c r="E26" i="7"/>
  <c r="F26" i="7"/>
  <c r="J26" i="7"/>
  <c r="K26" i="7" s="1"/>
  <c r="D25" i="7"/>
  <c r="O25" i="7" s="1"/>
  <c r="E25" i="7"/>
  <c r="F25" i="7"/>
  <c r="J25" i="7"/>
  <c r="K25" i="7" s="1"/>
  <c r="D24" i="7"/>
  <c r="O24" i="7" s="1"/>
  <c r="E24" i="7"/>
  <c r="F24" i="7"/>
  <c r="J24" i="7"/>
  <c r="K24" i="7" s="1"/>
  <c r="N6" i="7"/>
  <c r="O5" i="7"/>
  <c r="O7" i="7" s="1"/>
  <c r="N5" i="7"/>
  <c r="N7" i="7" s="1"/>
  <c r="M5" i="7"/>
  <c r="M7" i="7" s="1"/>
  <c r="L5" i="7"/>
  <c r="J23" i="7"/>
  <c r="K23" i="7" s="1"/>
  <c r="F23" i="7"/>
  <c r="E23" i="7"/>
  <c r="D23" i="7"/>
  <c r="O23" i="7" s="1"/>
  <c r="J22" i="7"/>
  <c r="K22" i="7" s="1"/>
  <c r="F22" i="7"/>
  <c r="E22" i="7"/>
  <c r="D22" i="7"/>
  <c r="O22" i="7" s="1"/>
  <c r="J21" i="7"/>
  <c r="K21" i="7" s="1"/>
  <c r="F21" i="7"/>
  <c r="E21" i="7"/>
  <c r="D21" i="7"/>
  <c r="O21" i="7" s="1"/>
  <c r="J20" i="7"/>
  <c r="K20" i="7" s="1"/>
  <c r="F20" i="7"/>
  <c r="E20" i="7"/>
  <c r="D20" i="7"/>
  <c r="O20" i="7" s="1"/>
  <c r="J19" i="7"/>
  <c r="K19" i="7" s="1"/>
  <c r="F19" i="7"/>
  <c r="E19" i="7"/>
  <c r="D19" i="7"/>
  <c r="O19" i="7" s="1"/>
  <c r="J18" i="7"/>
  <c r="K18" i="7" s="1"/>
  <c r="F18" i="7"/>
  <c r="E18" i="7"/>
  <c r="D18" i="7"/>
  <c r="O18" i="7" s="1"/>
  <c r="J17" i="7"/>
  <c r="K17" i="7" s="1"/>
  <c r="F17" i="7"/>
  <c r="E17" i="7"/>
  <c r="D17" i="7"/>
  <c r="O17" i="7" s="1"/>
  <c r="J16" i="7"/>
  <c r="K16" i="7" s="1"/>
  <c r="F16" i="7"/>
  <c r="E16" i="7"/>
  <c r="D16" i="7"/>
  <c r="O16" i="7" s="1"/>
  <c r="G5" i="7"/>
  <c r="D7" i="7" s="1"/>
  <c r="F5" i="7"/>
  <c r="E7" i="7" s="1"/>
  <c r="E5" i="7"/>
  <c r="G7" i="7" s="1"/>
  <c r="D5" i="7"/>
  <c r="F7" i="7" s="1"/>
  <c r="L31" i="7" l="1"/>
  <c r="L25" i="7"/>
  <c r="L19" i="7"/>
  <c r="L30" i="7"/>
  <c r="L24" i="7"/>
  <c r="L18" i="7"/>
  <c r="L28" i="7"/>
  <c r="L16" i="7"/>
  <c r="L27" i="7"/>
  <c r="L32" i="7"/>
  <c r="L29" i="7"/>
  <c r="L23" i="7"/>
  <c r="L17" i="7"/>
  <c r="L22" i="7"/>
  <c r="L21" i="7"/>
  <c r="L26" i="7"/>
  <c r="L20" i="7"/>
  <c r="L7" i="7"/>
  <c r="M32" i="7" l="1"/>
  <c r="M26" i="7"/>
  <c r="M20" i="7"/>
  <c r="M17" i="7"/>
  <c r="M31" i="7"/>
  <c r="M25" i="7"/>
  <c r="M19" i="7"/>
  <c r="M23" i="7"/>
  <c r="M27" i="7"/>
  <c r="M30" i="7"/>
  <c r="M24" i="7"/>
  <c r="M18" i="7"/>
  <c r="M29" i="7"/>
  <c r="M22" i="7"/>
  <c r="M21" i="7"/>
  <c r="M28" i="7"/>
  <c r="M16" i="7"/>
</calcChain>
</file>

<file path=xl/sharedStrings.xml><?xml version="1.0" encoding="utf-8"?>
<sst xmlns="http://schemas.openxmlformats.org/spreadsheetml/2006/main" count="644" uniqueCount="85">
  <si>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</si>
  <si>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</si>
  <si>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</si>
  <si>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</si>
  <si>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</si>
  <si>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</si>
  <si>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</si>
  <si>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</si>
  <si>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</si>
  <si>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</si>
  <si>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</si>
  <si>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</si>
  <si>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</si>
  <si>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</si>
  <si>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</si>
  <si>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</si>
  <si>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</si>
  <si>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HCl,gas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</si>
  <si>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</si>
  <si>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</si>
  <si>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</si>
  <si>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</si>
  <si>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</si>
  <si>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</si>
  <si>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</si>
  <si>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</si>
  <si>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</si>
  <si>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</si>
  <si>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</si>
  <si>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</si>
  <si>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</si>
  <si>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</si>
  <si>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</si>
  <si>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</si>
  <si>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</si>
  <si>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</si>
  <si>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</si>
  <si>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</si>
  <si>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</si>
  <si>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</si>
  <si>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</si>
  <si>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</si>
  <si>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</si>
  <si>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</si>
  <si>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</si>
  <si>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</si>
  <si>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</si>
  <si>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</si>
  <si>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</si>
  <si>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</si>
  <si>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</si>
  <si>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page 24</t>
  </si>
  <si>
    <t>page 54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</si>
  <si>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</si>
  <si>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</si>
  <si>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</si>
  <si>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</si>
  <si>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</si>
  <si>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</si>
  <si>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</si>
  <si>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</si>
  <si>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page 259</t>
  </si>
  <si>
    <t>Regressed to 1800K</t>
  </si>
  <si>
    <t>Raw data</t>
  </si>
  <si>
    <t>Original citation</t>
  </si>
  <si>
    <t>page ???</t>
  </si>
  <si>
    <t>SUMMARY OUTPUT, Cp to 1800K from raw data</t>
  </si>
  <si>
    <t>?????,gas</t>
  </si>
  <si>
    <t>SUMMARY OUTPUT</t>
  </si>
  <si>
    <t>page 280</t>
  </si>
  <si>
    <t>slop values---&gt;</t>
  </si>
  <si>
    <t>page 282</t>
  </si>
  <si>
    <t>Cox, J.D., Wagman, D.D., and Medvedev, V.A., 1989, CODATA key values for thermodynamics: Hemisphere, New York, 271 p</t>
  </si>
  <si>
    <t>https://janaf.nist.gov/tables/Cl-026.html</t>
  </si>
  <si>
    <t>RH95 cites: Chase, M.W.et.al., 1985, JANAF Thermochemical Tables 3rd Edition, Part I, AI-Co; Part II, Cr-Zr: Jour. Phys. Chem. Ref Data, v. 14, Supplement no. 1, p. 1-1856.</t>
  </si>
  <si>
    <t>---&gt;Cp-J</t>
  </si>
  <si>
    <t>Cp-J&lt;---</t>
  </si>
  <si>
    <t>https://janaf.nist.gov/tables/F-005.html</t>
  </si>
  <si>
    <t>HCl-RH95</t>
  </si>
  <si>
    <t>HCl-BoM#674</t>
  </si>
  <si>
    <t>HCl-JANAF-4th</t>
  </si>
  <si>
    <t>HF-RH95</t>
  </si>
  <si>
    <t>HF-BoM#674</t>
  </si>
  <si>
    <t>HF-JANAF-4th</t>
  </si>
  <si>
    <t>Cp(T,K)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</si>
</sst>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7" fontId="0" fillId="4" borderId="0" xfId="0" applyNumberFormat="1" applyFill="1"/>
    <xf numFmtId="0" fontId="6" fillId="0" borderId="0" xfId="0" quotePrefix="1" applyFont="1"/>
    <xf numFmtId="0" fontId="1" fillId="4" borderId="0" xfId="0" applyFont="1" applyFill="1"/>
    <xf numFmtId="1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00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47197416851533E-2"/>
          <c:y val="7.4697323861914952E-2"/>
          <c:w val="0.92870161849154542"/>
          <c:h val="0.817774057947909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'HCl-RH95'!$I$15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'HCl-RH95'!$I$16:$I$32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'HCl-RH95'!$J$15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'HCl-RH95'!$J$16:$J$32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'HCl-RH95'!$L$15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'HCl-RH95'!$L$16:$L$32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'HCl-RH95'!$N$15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'HCl-RH95'!$B$16:$B$32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'HCl-RH95'!$N$16:$N$32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80927384076985E-2"/>
          <c:y val="0.17171296296296296"/>
          <c:w val="0.85253018372703415"/>
          <c:h val="0.6149843248760571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'HCl-BoM#674'!$B$16:$B$32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'HCl-BoM#674'!$L$16:$L$32</c:f>
              <c:numCache>
                <c:formatCode>General</c:formatCode>
                <c:ptCount val="17"/>
                <c:pt idx="0">
                  <c:v>29.116484000000003</c:v>
                </c:pt>
                <c:pt idx="1">
                  <c:v>29.116484000000003</c:v>
                </c:pt>
                <c:pt idx="2">
                  <c:v>29.154112999999999</c:v>
                </c:pt>
                <c:pt idx="3">
                  <c:v>29.283723999999999</c:v>
                </c:pt>
                <c:pt idx="4">
                  <c:v>29.555489000000001</c:v>
                </c:pt>
                <c:pt idx="5">
                  <c:v>29.965226999999999</c:v>
                </c:pt>
                <c:pt idx="6">
                  <c:v>30.475308999999999</c:v>
                </c:pt>
                <c:pt idx="7">
                  <c:v>31.035563</c:v>
                </c:pt>
                <c:pt idx="8">
                  <c:v>31.604179000000002</c:v>
                </c:pt>
                <c:pt idx="9">
                  <c:v>32.164432999999995</c:v>
                </c:pt>
                <c:pt idx="10">
                  <c:v>32.691239000000003</c:v>
                </c:pt>
                <c:pt idx="11">
                  <c:v>33.180416000000001</c:v>
                </c:pt>
                <c:pt idx="12">
                  <c:v>33.627782999999994</c:v>
                </c:pt>
                <c:pt idx="13">
                  <c:v>34.037520999999998</c:v>
                </c:pt>
                <c:pt idx="14">
                  <c:v>34.405448999999997</c:v>
                </c:pt>
                <c:pt idx="15">
                  <c:v>34.744109999999999</c:v>
                </c:pt>
                <c:pt idx="16">
                  <c:v>35.045141999999998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21-4685-A976-2D58ABCB0E9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'HCl-BoM#674'!$B$16:$B$32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'HCl-BoM#674'!$M$16:$M$32</c:f>
              <c:numCache>
                <c:formatCode>0.0000</c:formatCode>
                <c:ptCount val="17"/>
                <c:pt idx="0">
                  <c:v>29.194691968811245</c:v>
                </c:pt>
                <c:pt idx="1">
                  <c:v>29.179132454543709</c:v>
                </c:pt>
                <c:pt idx="2">
                  <c:v>28.934249653689012</c:v>
                </c:pt>
                <c:pt idx="3">
                  <c:v>29.220048537670834</c:v>
                </c:pt>
                <c:pt idx="4">
                  <c:v>29.663930587322898</c:v>
                </c:pt>
                <c:pt idx="5">
                  <c:v>30.156074187488521</c:v>
                </c:pt>
                <c:pt idx="6">
                  <c:v>30.658703361946063</c:v>
                </c:pt>
                <c:pt idx="7">
                  <c:v>31.15792979961719</c:v>
                </c:pt>
                <c:pt idx="8">
                  <c:v>31.648772936197783</c:v>
                </c:pt>
                <c:pt idx="9">
                  <c:v>32.129808881426825</c:v>
                </c:pt>
                <c:pt idx="10">
                  <c:v>32.601068685910597</c:v>
                </c:pt>
                <c:pt idx="11">
                  <c:v>33.063158682387296</c:v>
                </c:pt>
                <c:pt idx="12">
                  <c:v>33.516878530332605</c:v>
                </c:pt>
                <c:pt idx="13">
                  <c:v>33.963054042617486</c:v>
                </c:pt>
                <c:pt idx="14">
                  <c:v>34.402466447822363</c:v>
                </c:pt>
                <c:pt idx="15">
                  <c:v>34.835825904825541</c:v>
                </c:pt>
                <c:pt idx="16">
                  <c:v>35.263765337390204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21-4685-A976-2D58ABCB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331264"/>
        <c:axId val="1906686640"/>
      </c:scatterChart>
      <c:valAx>
        <c:axId val="197833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686640"/>
        <c:crosses val="autoZero"/>
        <c:crossBetween val="midCat"/>
      </c:valAx>
      <c:valAx>
        <c:axId val="1906686640"/>
        <c:scaling>
          <c:orientation val="minMax"/>
          <c:max val="36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33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'HCl-JANAF-4th'!$B$16:$B$32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'HCl-JANAF-4th'!$K$16:$K$32</c:f>
              <c:numCache>
                <c:formatCode>0.0000</c:formatCode>
                <c:ptCount val="17"/>
                <c:pt idx="0">
                  <c:v>29.135999999999999</c:v>
                </c:pt>
                <c:pt idx="1">
                  <c:v>29.137</c:v>
                </c:pt>
                <c:pt idx="2">
                  <c:v>29.175000000000001</c:v>
                </c:pt>
                <c:pt idx="3">
                  <c:v>29.303999999999998</c:v>
                </c:pt>
                <c:pt idx="4">
                  <c:v>29.574999999999999</c:v>
                </c:pt>
                <c:pt idx="5">
                  <c:v>29.984999999999999</c:v>
                </c:pt>
                <c:pt idx="6">
                  <c:v>30.494</c:v>
                </c:pt>
                <c:pt idx="7">
                  <c:v>31.055</c:v>
                </c:pt>
                <c:pt idx="8">
                  <c:v>31.628</c:v>
                </c:pt>
                <c:pt idx="9">
                  <c:v>32.186</c:v>
                </c:pt>
                <c:pt idx="10">
                  <c:v>32.713000000000001</c:v>
                </c:pt>
                <c:pt idx="11">
                  <c:v>33.203000000000003</c:v>
                </c:pt>
                <c:pt idx="12">
                  <c:v>33.651000000000003</c:v>
                </c:pt>
                <c:pt idx="13">
                  <c:v>34.06</c:v>
                </c:pt>
                <c:pt idx="14">
                  <c:v>34.430999999999997</c:v>
                </c:pt>
                <c:pt idx="15">
                  <c:v>34.767000000000003</c:v>
                </c:pt>
                <c:pt idx="16">
                  <c:v>35.070999999999998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78-44F2-80CE-2341A09B1E0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'HCl-JANAF-4th'!$B$16:$B$32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'HCl-JANAF-4th'!$N$16:$N$32</c:f>
              <c:numCache>
                <c:formatCode>0.0000</c:formatCode>
                <c:ptCount val="17"/>
                <c:pt idx="0">
                  <c:v>29.193932557262542</c:v>
                </c:pt>
                <c:pt idx="1">
                  <c:v>29.178385355798135</c:v>
                </c:pt>
                <c:pt idx="2">
                  <c:v>28.933569135059447</c:v>
                </c:pt>
                <c:pt idx="3">
                  <c:v>29.219041839265948</c:v>
                </c:pt>
                <c:pt idx="4">
                  <c:v>29.662604722667673</c:v>
                </c:pt>
                <c:pt idx="5">
                  <c:v>30.15451637689932</c:v>
                </c:pt>
                <c:pt idx="6">
                  <c:v>30.657008568589788</c:v>
                </c:pt>
                <c:pt idx="7">
                  <c:v>31.156183457141978</c:v>
                </c:pt>
                <c:pt idx="8">
                  <c:v>31.647048033383875</c:v>
                </c:pt>
                <c:pt idx="9">
                  <c:v>32.128166887134377</c:v>
                </c:pt>
                <c:pt idx="10">
                  <c:v>32.599561314543337</c:v>
                </c:pt>
                <c:pt idx="11">
                  <c:v>33.061829627856319</c:v>
                </c:pt>
                <c:pt idx="12">
                  <c:v>33.51576494553921</c:v>
                </c:pt>
                <c:pt idx="13">
                  <c:v>33.962187742441145</c:v>
                </c:pt>
                <c:pt idx="14">
                  <c:v>34.401874870669516</c:v>
                </c:pt>
                <c:pt idx="15">
                  <c:v>34.835532878037995</c:v>
                </c:pt>
                <c:pt idx="16">
                  <c:v>35.263791687709393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78-44F2-80CE-2341A09B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581488"/>
        <c:axId val="1977354800"/>
      </c:scatterChart>
      <c:valAx>
        <c:axId val="198158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354800"/>
        <c:crosses val="autoZero"/>
        <c:crossBetween val="midCat"/>
      </c:valAx>
      <c:valAx>
        <c:axId val="1977354800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58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'HF-RH95'!$I$15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'HF-RH95'!$I$16:$I$32</c:f>
              <c:numCache>
                <c:formatCode>General</c:formatCode>
                <c:ptCount val="17"/>
                <c:pt idx="0">
                  <c:v>29.14</c:v>
                </c:pt>
                <c:pt idx="1">
                  <c:v>29.15</c:v>
                </c:pt>
                <c:pt idx="2">
                  <c:v>29.21</c:v>
                </c:pt>
                <c:pt idx="3">
                  <c:v>29.15</c:v>
                </c:pt>
                <c:pt idx="4">
                  <c:v>29.18</c:v>
                </c:pt>
                <c:pt idx="5">
                  <c:v>29.32</c:v>
                </c:pt>
                <c:pt idx="6">
                  <c:v>29.55</c:v>
                </c:pt>
                <c:pt idx="7">
                  <c:v>29.86</c:v>
                </c:pt>
                <c:pt idx="8">
                  <c:v>30.2</c:v>
                </c:pt>
                <c:pt idx="9">
                  <c:v>30.59</c:v>
                </c:pt>
                <c:pt idx="10">
                  <c:v>30.99</c:v>
                </c:pt>
                <c:pt idx="11">
                  <c:v>31.4</c:v>
                </c:pt>
                <c:pt idx="12">
                  <c:v>31.81</c:v>
                </c:pt>
                <c:pt idx="13">
                  <c:v>32.22</c:v>
                </c:pt>
                <c:pt idx="14">
                  <c:v>32.630000000000003</c:v>
                </c:pt>
                <c:pt idx="15">
                  <c:v>33.020000000000003</c:v>
                </c:pt>
                <c:pt idx="16">
                  <c:v>33.39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6-4E4C-A77F-E9E8490BFC32}"/>
            </c:ext>
          </c:extLst>
        </c:ser>
        <c:ser>
          <c:idx val="1"/>
          <c:order val="1"/>
          <c:tx>
            <c:strRef>
              <c:f>'HF-RH95'!$J$15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'HF-RH95'!$J$16:$J$32</c:f>
              <c:numCache>
                <c:formatCode>0.0000</c:formatCode>
                <c:ptCount val="17"/>
                <c:pt idx="0">
                  <c:v>29.138879910680668</c:v>
                </c:pt>
                <c:pt idx="1">
                  <c:v>29.145990841983853</c:v>
                </c:pt>
                <c:pt idx="2">
                  <c:v>29.210740000000001</c:v>
                </c:pt>
                <c:pt idx="3">
                  <c:v>29.148898771683314</c:v>
                </c:pt>
                <c:pt idx="4">
                  <c:v>29.180437887775881</c:v>
                </c:pt>
                <c:pt idx="5">
                  <c:v>29.322279086540959</c:v>
                </c:pt>
                <c:pt idx="6">
                  <c:v>29.55496936107248</c:v>
                </c:pt>
                <c:pt idx="7">
                  <c:v>29.855596172839505</c:v>
                </c:pt>
                <c:pt idx="8">
                  <c:v>30.204446584294693</c:v>
                </c:pt>
                <c:pt idx="9">
                  <c:v>30.585745444999585</c:v>
                </c:pt>
                <c:pt idx="10">
                  <c:v>30.987094865436369</c:v>
                </c:pt>
                <c:pt idx="11">
                  <c:v>31.39875150829554</c:v>
                </c:pt>
                <c:pt idx="12">
                  <c:v>31.813006126696148</c:v>
                </c:pt>
                <c:pt idx="13">
                  <c:v>32.223701734390964</c:v>
                </c:pt>
                <c:pt idx="14">
                  <c:v>32.625871250000003</c:v>
                </c:pt>
                <c:pt idx="15">
                  <c:v>33.015467166486133</c:v>
                </c:pt>
                <c:pt idx="16">
                  <c:v>33.389159450591528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6-4E4C-A77F-E9E8490BFC32}"/>
            </c:ext>
          </c:extLst>
        </c:ser>
        <c:ser>
          <c:idx val="2"/>
          <c:order val="2"/>
          <c:tx>
            <c:strRef>
              <c:f>'HF-RH95'!$L$15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'HF-RH95'!$L$16:$L$32</c:f>
              <c:numCache>
                <c:formatCode>General</c:formatCode>
                <c:ptCount val="17"/>
                <c:pt idx="0">
                  <c:v>29.139772727503189</c:v>
                </c:pt>
                <c:pt idx="1">
                  <c:v>29.145991368743967</c:v>
                </c:pt>
                <c:pt idx="2">
                  <c:v>29.206278391261137</c:v>
                </c:pt>
                <c:pt idx="3">
                  <c:v>29.15337238662255</c:v>
                </c:pt>
                <c:pt idx="4">
                  <c:v>29.183641967194653</c:v>
                </c:pt>
                <c:pt idx="5">
                  <c:v>29.319500684016912</c:v>
                </c:pt>
                <c:pt idx="6">
                  <c:v>29.549950933194729</c:v>
                </c:pt>
                <c:pt idx="7">
                  <c:v>29.859283574039559</c:v>
                </c:pt>
                <c:pt idx="8">
                  <c:v>30.233355732387892</c:v>
                </c:pt>
                <c:pt idx="9">
                  <c:v>30.66061900485542</c:v>
                </c:pt>
                <c:pt idx="10">
                  <c:v>31.131893801277414</c:v>
                </c:pt>
                <c:pt idx="11">
                  <c:v>31.639913606671286</c:v>
                </c:pt>
                <c:pt idx="12">
                  <c:v>32.17890011255713</c:v>
                </c:pt>
                <c:pt idx="13">
                  <c:v>32.744221623492116</c:v>
                </c:pt>
                <c:pt idx="14">
                  <c:v>33.3321312141032</c:v>
                </c:pt>
                <c:pt idx="15">
                  <c:v>33.939569017849237</c:v>
                </c:pt>
                <c:pt idx="16">
                  <c:v>34.564013189324562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6-4E4C-A77F-E9E8490BFC32}"/>
            </c:ext>
          </c:extLst>
        </c:ser>
        <c:ser>
          <c:idx val="3"/>
          <c:order val="3"/>
          <c:tx>
            <c:strRef>
              <c:f>'HF-RH95'!$N$15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'HF-RH95'!$B$16:$B$32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'HF-RH95'!$N$16:$N$32</c:f>
              <c:numCache>
                <c:formatCode>0.0000</c:formatCode>
                <c:ptCount val="17"/>
                <c:pt idx="0">
                  <c:v>29.167260622290812</c:v>
                </c:pt>
                <c:pt idx="1">
                  <c:v>29.166351667251647</c:v>
                </c:pt>
                <c:pt idx="2">
                  <c:v>29.105353075009052</c:v>
                </c:pt>
                <c:pt idx="3">
                  <c:v>29.113552164287</c:v>
                </c:pt>
                <c:pt idx="4">
                  <c:v>29.212805035940594</c:v>
                </c:pt>
                <c:pt idx="5">
                  <c:v>29.388182316424697</c:v>
                </c:pt>
                <c:pt idx="6">
                  <c:v>29.623275601311107</c:v>
                </c:pt>
                <c:pt idx="7">
                  <c:v>29.905022475400809</c:v>
                </c:pt>
                <c:pt idx="8">
                  <c:v>30.223610816903197</c:v>
                </c:pt>
                <c:pt idx="9">
                  <c:v>30.571712856107098</c:v>
                </c:pt>
                <c:pt idx="10">
                  <c:v>30.943804997698901</c:v>
                </c:pt>
                <c:pt idx="11">
                  <c:v>31.335665424661602</c:v>
                </c:pt>
                <c:pt idx="12">
                  <c:v>31.744019173076946</c:v>
                </c:pt>
                <c:pt idx="13">
                  <c:v>32.166289001635676</c:v>
                </c:pt>
                <c:pt idx="14">
                  <c:v>32.600419288744696</c:v>
                </c:pt>
                <c:pt idx="15">
                  <c:v>33.044750033634742</c:v>
                </c:pt>
                <c:pt idx="16">
                  <c:v>33.497925449621405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6-4E4C-A77F-E9E8490B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'HF-BoM#674'!$D$16:$D$32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'HF-BoM#674'!$L$16:$L$32</c:f>
              <c:numCache>
                <c:formatCode>General</c:formatCode>
                <c:ptCount val="17"/>
                <c:pt idx="0">
                  <c:v>29.116484000000003</c:v>
                </c:pt>
                <c:pt idx="1">
                  <c:v>29.116484000000003</c:v>
                </c:pt>
                <c:pt idx="2">
                  <c:v>29.129026999999997</c:v>
                </c:pt>
                <c:pt idx="3">
                  <c:v>29.149932000000003</c:v>
                </c:pt>
                <c:pt idx="4">
                  <c:v>29.208465999999998</c:v>
                </c:pt>
                <c:pt idx="5">
                  <c:v>29.329715</c:v>
                </c:pt>
                <c:pt idx="6">
                  <c:v>29.530403</c:v>
                </c:pt>
                <c:pt idx="7">
                  <c:v>29.806348999999997</c:v>
                </c:pt>
                <c:pt idx="8">
                  <c:v>30.149191000000002</c:v>
                </c:pt>
                <c:pt idx="9">
                  <c:v>30.533843000000001</c:v>
                </c:pt>
                <c:pt idx="10">
                  <c:v>30.947762000000001</c:v>
                </c:pt>
                <c:pt idx="11">
                  <c:v>31.374223999999998</c:v>
                </c:pt>
                <c:pt idx="12">
                  <c:v>31.800685999999999</c:v>
                </c:pt>
                <c:pt idx="13">
                  <c:v>32.214604999999999</c:v>
                </c:pt>
                <c:pt idx="14">
                  <c:v>32.611800000000002</c:v>
                </c:pt>
                <c:pt idx="15">
                  <c:v>32.992271000000002</c:v>
                </c:pt>
                <c:pt idx="16">
                  <c:v>33.351837000000003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0C-49B9-AE1E-DEC11C3F2A3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'HF-BoM#674'!$D$16:$D$32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'HF-BoM#674'!$M$16:$M$32</c:f>
              <c:numCache>
                <c:formatCode>0.0000</c:formatCode>
                <c:ptCount val="17"/>
                <c:pt idx="0">
                  <c:v>29.150443596380235</c:v>
                </c:pt>
                <c:pt idx="1">
                  <c:v>29.150232688234073</c:v>
                </c:pt>
                <c:pt idx="2">
                  <c:v>29.107865806620101</c:v>
                </c:pt>
                <c:pt idx="3">
                  <c:v>29.118406658804403</c:v>
                </c:pt>
                <c:pt idx="4">
                  <c:v>29.215777876440747</c:v>
                </c:pt>
                <c:pt idx="5">
                  <c:v>29.38841575781597</c:v>
                </c:pt>
                <c:pt idx="6">
                  <c:v>29.620968921899685</c:v>
                </c:pt>
                <c:pt idx="7">
                  <c:v>29.900700779518466</c:v>
                </c:pt>
                <c:pt idx="8">
                  <c:v>30.21787025638919</c:v>
                </c:pt>
                <c:pt idx="9">
                  <c:v>30.565129500679468</c:v>
                </c:pt>
                <c:pt idx="10">
                  <c:v>30.936904593361572</c:v>
                </c:pt>
                <c:pt idx="11">
                  <c:v>31.328916691634682</c:v>
                </c:pt>
                <c:pt idx="12">
                  <c:v>31.737836103125179</c:v>
                </c:pt>
                <c:pt idx="13">
                  <c:v>32.161036256560813</c:v>
                </c:pt>
                <c:pt idx="14">
                  <c:v>32.596418279767157</c:v>
                </c:pt>
                <c:pt idx="15">
                  <c:v>33.042284719255441</c:v>
                </c:pt>
                <c:pt idx="16">
                  <c:v>33.497247513512761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0C-49B9-AE1E-DEC11C3F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566496"/>
        <c:axId val="1823488576"/>
      </c:scatterChart>
      <c:valAx>
        <c:axId val="201456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488576"/>
        <c:crosses val="autoZero"/>
        <c:crossBetween val="midCat"/>
      </c:valAx>
      <c:valAx>
        <c:axId val="182348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6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'HF-JANAF-4th'!$B$16:$B$32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'HF-JANAF-4th'!$K$16:$K$32</c:f>
              <c:numCache>
                <c:formatCode>0.0000</c:formatCode>
                <c:ptCount val="17"/>
                <c:pt idx="0">
                  <c:v>29.138000000000002</c:v>
                </c:pt>
                <c:pt idx="1">
                  <c:v>29.138000000000002</c:v>
                </c:pt>
                <c:pt idx="2">
                  <c:v>29.15</c:v>
                </c:pt>
                <c:pt idx="3">
                  <c:v>29.172999999999998</c:v>
                </c:pt>
                <c:pt idx="4">
                  <c:v>29.23</c:v>
                </c:pt>
                <c:pt idx="5">
                  <c:v>29.350999999999999</c:v>
                </c:pt>
                <c:pt idx="6">
                  <c:v>29.55</c:v>
                </c:pt>
                <c:pt idx="7">
                  <c:v>29.827000000000002</c:v>
                </c:pt>
                <c:pt idx="8">
                  <c:v>30.169</c:v>
                </c:pt>
                <c:pt idx="9">
                  <c:v>30.556000000000001</c:v>
                </c:pt>
                <c:pt idx="10">
                  <c:v>30.971</c:v>
                </c:pt>
                <c:pt idx="11">
                  <c:v>31.396999999999998</c:v>
                </c:pt>
                <c:pt idx="12">
                  <c:v>31.821999999999999</c:v>
                </c:pt>
                <c:pt idx="13">
                  <c:v>32.237000000000002</c:v>
                </c:pt>
                <c:pt idx="14">
                  <c:v>32.636000000000003</c:v>
                </c:pt>
                <c:pt idx="15">
                  <c:v>33.017000000000003</c:v>
                </c:pt>
                <c:pt idx="16">
                  <c:v>33.375999999999998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B-4413-B97D-DB07848ACFD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'HF-JANAF-4th'!$B$16:$B$32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'HF-JANAF-4th'!$N$16:$N$32</c:f>
              <c:numCache>
                <c:formatCode>0.0000</c:formatCode>
                <c:ptCount val="17"/>
                <c:pt idx="0">
                  <c:v>29.150966769606644</c:v>
                </c:pt>
                <c:pt idx="1">
                  <c:v>29.150787955263763</c:v>
                </c:pt>
                <c:pt idx="2">
                  <c:v>29.108980540299779</c:v>
                </c:pt>
                <c:pt idx="3">
                  <c:v>29.119197100038718</c:v>
                </c:pt>
                <c:pt idx="4">
                  <c:v>29.216124244724568</c:v>
                </c:pt>
                <c:pt idx="5">
                  <c:v>29.388379920585855</c:v>
                </c:pt>
                <c:pt idx="6">
                  <c:v>29.620652267118494</c:v>
                </c:pt>
                <c:pt idx="7">
                  <c:v>29.900204905768845</c:v>
                </c:pt>
                <c:pt idx="8">
                  <c:v>30.21728639315867</c:v>
                </c:pt>
                <c:pt idx="9">
                  <c:v>30.564536701033873</c:v>
                </c:pt>
                <c:pt idx="10">
                  <c:v>30.936370599463672</c:v>
                </c:pt>
                <c:pt idx="11">
                  <c:v>31.328499475493942</c:v>
                </c:pt>
                <c:pt idx="12">
                  <c:v>31.737585421932152</c:v>
                </c:pt>
                <c:pt idx="13">
                  <c:v>32.160995023369864</c:v>
                </c:pt>
                <c:pt idx="14">
                  <c:v>32.59662371206656</c:v>
                </c:pt>
                <c:pt idx="15">
                  <c:v>33.042769282033078</c:v>
                </c:pt>
                <c:pt idx="16">
                  <c:v>33.498039688041587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B-4413-B97D-DB07848A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581488"/>
        <c:axId val="1977354800"/>
      </c:scatterChart>
      <c:valAx>
        <c:axId val="198158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354800"/>
        <c:crosses val="autoZero"/>
        <c:crossBetween val="midCat"/>
      </c:valAx>
      <c:valAx>
        <c:axId val="1977354800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58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Template!$I$16:$I$32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Template!$J$16:$J$32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Template!$L$16:$L$32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Template!$N$16:$N$32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32</xdr:row>
      <xdr:rowOff>42861</xdr:rowOff>
    </xdr:from>
    <xdr:to>
      <xdr:col>13</xdr:col>
      <xdr:colOff>214312</xdr:colOff>
      <xdr:row>62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32</xdr:row>
      <xdr:rowOff>42862</xdr:rowOff>
    </xdr:from>
    <xdr:to>
      <xdr:col>11</xdr:col>
      <xdr:colOff>100012</xdr:colOff>
      <xdr:row>46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DC5B88-91EA-4BA7-8CFC-5BDE02CC3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32</xdr:row>
      <xdr:rowOff>128586</xdr:rowOff>
    </xdr:from>
    <xdr:to>
      <xdr:col>8</xdr:col>
      <xdr:colOff>342900</xdr:colOff>
      <xdr:row>49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381188-F512-4FC0-819C-F4DC98CAB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32</xdr:row>
      <xdr:rowOff>47625</xdr:rowOff>
    </xdr:from>
    <xdr:to>
      <xdr:col>13</xdr:col>
      <xdr:colOff>242887</xdr:colOff>
      <xdr:row>58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2798-11E2-413E-8800-E5B85BB5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25</xdr:row>
      <xdr:rowOff>195262</xdr:rowOff>
    </xdr:from>
    <xdr:to>
      <xdr:col>9</xdr:col>
      <xdr:colOff>204787</xdr:colOff>
      <xdr:row>40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1AA768-EDFA-445E-B329-968CCBB69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42861</xdr:rowOff>
    </xdr:from>
    <xdr:to>
      <xdr:col>7</xdr:col>
      <xdr:colOff>161925</xdr:colOff>
      <xdr:row>46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3DD69B-0339-4740-90D2-DD65FBA7B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32</xdr:row>
      <xdr:rowOff>47625</xdr:rowOff>
    </xdr:from>
    <xdr:to>
      <xdr:col>13</xdr:col>
      <xdr:colOff>242887</xdr:colOff>
      <xdr:row>58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3707-4BB3-4791-9F40-57F89B82848A}">
  <dimension ref="B2:N10"/>
  <sheetViews>
    <sheetView tabSelected="1" workbookViewId="0"/>
  </sheetViews>
  <sheetFormatPr defaultRowHeight="15" x14ac:dyDescent="0.25"/>
  <cols>
    <col min="1" max="1" width="3.7109375" customWidth="1"/>
    <col min="2" max="2" width="14.140625" bestFit="1" customWidth="1"/>
    <col min="3" max="3" width="3.7109375" customWidth="1"/>
    <col min="7" max="7" width="3.7109375" customWidth="1"/>
    <col min="8" max="8" width="9.5703125" bestFit="1" customWidth="1"/>
    <col min="9" max="9" width="9.28515625" bestFit="1" customWidth="1"/>
    <col min="11" max="11" width="10.28515625" bestFit="1" customWidth="1"/>
    <col min="13" max="13" width="10.5703125" bestFit="1" customWidth="1"/>
  </cols>
  <sheetData>
    <row r="2" spans="2:14" x14ac:dyDescent="0.25">
      <c r="H2" s="7" t="s">
        <v>7</v>
      </c>
      <c r="I2" s="7" t="s">
        <v>8</v>
      </c>
      <c r="J2" s="7" t="s">
        <v>9</v>
      </c>
      <c r="K2" s="7" t="s">
        <v>10</v>
      </c>
      <c r="M2" s="7" t="s">
        <v>84</v>
      </c>
      <c r="N2" s="7" t="s">
        <v>84</v>
      </c>
    </row>
    <row r="3" spans="2:14" x14ac:dyDescent="0.25">
      <c r="D3" s="6" t="s">
        <v>2</v>
      </c>
      <c r="E3" s="6" t="s">
        <v>1</v>
      </c>
      <c r="F3" s="7" t="s">
        <v>3</v>
      </c>
      <c r="H3" s="7">
        <v>1</v>
      </c>
      <c r="I3" s="7" t="s">
        <v>0</v>
      </c>
      <c r="J3" s="7" t="s">
        <v>12</v>
      </c>
      <c r="K3" s="7" t="s">
        <v>13</v>
      </c>
      <c r="M3" s="17">
        <v>298.14999999999998</v>
      </c>
      <c r="N3" s="17">
        <v>1200</v>
      </c>
    </row>
    <row r="4" spans="2:14" x14ac:dyDescent="0.25">
      <c r="B4" s="17" t="s">
        <v>78</v>
      </c>
      <c r="D4" s="42">
        <v>-22776.640296367113</v>
      </c>
      <c r="E4" s="42">
        <v>-22062.619502868067</v>
      </c>
      <c r="F4" s="11">
        <v>44.670172084130016</v>
      </c>
      <c r="G4">
        <v>298.14999999999998</v>
      </c>
      <c r="H4" s="43">
        <v>7.5247569046614666</v>
      </c>
      <c r="I4" s="43">
        <v>8.6255828982203262E-4</v>
      </c>
      <c r="J4" s="5">
        <v>73237.074876410945</v>
      </c>
      <c r="K4" s="43">
        <v>-28.231181452103712</v>
      </c>
      <c r="M4">
        <f>$H4+($I4)*M$3+($J4)*M$3^-2+$K4*M$3^-0.5</f>
        <v>6.9708267348922046</v>
      </c>
      <c r="N4">
        <f>$H4+($I4)*N$3+($J4)*N$3^-2+$K4*N$3^-0.5</f>
        <v>7.7957219216775293</v>
      </c>
    </row>
    <row r="5" spans="2:14" x14ac:dyDescent="0.25">
      <c r="B5" s="17" t="s">
        <v>79</v>
      </c>
      <c r="D5" s="42">
        <v>-22777</v>
      </c>
      <c r="E5" s="42">
        <v>-22063</v>
      </c>
      <c r="F5" s="11">
        <v>44.643000000000001</v>
      </c>
      <c r="H5" s="43">
        <v>7.5614242940573551</v>
      </c>
      <c r="I5" s="43">
        <v>8.5142234151282562E-4</v>
      </c>
      <c r="J5" s="5">
        <v>76084.087174927539</v>
      </c>
      <c r="K5" s="43">
        <v>-29.241342748695896</v>
      </c>
      <c r="M5">
        <f t="shared" ref="M5:N10" si="0">$H5+($I5)*M$3+($J5)*M$3^-2+$K5*M$3^-0.5</f>
        <v>6.9776988453181747</v>
      </c>
      <c r="N5">
        <f t="shared" si="0"/>
        <v>7.7918424201507168</v>
      </c>
    </row>
    <row r="6" spans="2:14" x14ac:dyDescent="0.25">
      <c r="B6" s="17" t="s">
        <v>80</v>
      </c>
      <c r="D6" s="42">
        <v>-22777.246653919694</v>
      </c>
      <c r="E6" s="42">
        <v>-22063.575525812616</v>
      </c>
      <c r="F6" s="11">
        <v>44.670411089866157</v>
      </c>
      <c r="H6" s="43">
        <v>7.556841053413657</v>
      </c>
      <c r="I6" s="43">
        <v>8.5277517467256478E-4</v>
      </c>
      <c r="J6" s="5">
        <v>75960.626605941143</v>
      </c>
      <c r="K6" s="43">
        <v>-29.148320987096824</v>
      </c>
      <c r="M6">
        <f t="shared" si="0"/>
        <v>6.9775173416019456</v>
      </c>
      <c r="N6">
        <f t="shared" si="0"/>
        <v>7.7914821497474502</v>
      </c>
    </row>
    <row r="7" spans="2:14" x14ac:dyDescent="0.25">
      <c r="D7" s="42"/>
      <c r="E7" s="42"/>
      <c r="F7" s="11"/>
      <c r="H7" s="43"/>
      <c r="I7" s="43"/>
      <c r="J7" s="5"/>
      <c r="K7" s="43"/>
    </row>
    <row r="8" spans="2:14" x14ac:dyDescent="0.25">
      <c r="B8" s="17" t="s">
        <v>81</v>
      </c>
      <c r="D8" s="42">
        <v>-65823.716479445502</v>
      </c>
      <c r="E8" s="42">
        <v>-65320.267686424471</v>
      </c>
      <c r="F8" s="11">
        <v>41.539196940726576</v>
      </c>
      <c r="H8" s="43">
        <v>4.7666919891364712</v>
      </c>
      <c r="I8" s="43">
        <v>1.3235710235401368E-3</v>
      </c>
      <c r="J8" s="5">
        <v>-28221.664679854835</v>
      </c>
      <c r="K8" s="43">
        <v>36.732226858716473</v>
      </c>
      <c r="M8">
        <f t="shared" si="0"/>
        <v>6.9711425961498108</v>
      </c>
      <c r="N8">
        <f t="shared" si="0"/>
        <v>7.3957468923754544</v>
      </c>
    </row>
    <row r="9" spans="2:14" x14ac:dyDescent="0.25">
      <c r="B9" s="17" t="s">
        <v>82</v>
      </c>
      <c r="D9" s="42">
        <v>-65822</v>
      </c>
      <c r="E9" s="42">
        <v>-65320</v>
      </c>
      <c r="F9" s="11">
        <v>41.508000000000003</v>
      </c>
      <c r="H9" s="43">
        <v>4.7162800860811585</v>
      </c>
      <c r="I9" s="43">
        <v>1.3354508478620613E-3</v>
      </c>
      <c r="J9" s="5">
        <v>-30897.835558679515</v>
      </c>
      <c r="K9" s="43">
        <v>37.991958830468711</v>
      </c>
      <c r="M9">
        <f t="shared" si="0"/>
        <v>6.9671232304924073</v>
      </c>
      <c r="N9">
        <f t="shared" si="0"/>
        <v>7.3940976561571627</v>
      </c>
    </row>
    <row r="10" spans="2:14" x14ac:dyDescent="0.25">
      <c r="B10" s="17" t="s">
        <v>83</v>
      </c>
      <c r="D10" s="42">
        <v>-65641.969407265773</v>
      </c>
      <c r="E10" s="42">
        <v>-65140.057361376661</v>
      </c>
      <c r="F10" s="11">
        <v>41.53441682600382</v>
      </c>
      <c r="H10" s="43">
        <v>4.7106375168784398</v>
      </c>
      <c r="I10" s="43">
        <v>1.3370067563325011E-3</v>
      </c>
      <c r="J10" s="5">
        <v>-31102.232676423766</v>
      </c>
      <c r="K10" s="43">
        <v>38.123241141351777</v>
      </c>
      <c r="M10">
        <f t="shared" si="0"/>
        <v>6.9672482718945119</v>
      </c>
      <c r="N10">
        <f t="shared" si="0"/>
        <v>7.393970028552503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4"/>
  <sheetViews>
    <sheetView zoomScaleNormal="100" workbookViewId="0">
      <selection activeCell="O26" sqref="O26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2" x14ac:dyDescent="0.25">
      <c r="A1" t="s">
        <v>74</v>
      </c>
    </row>
    <row r="2" spans="1:22" x14ac:dyDescent="0.25">
      <c r="B2" t="s">
        <v>72</v>
      </c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>
        <v>36.460999999999999</v>
      </c>
      <c r="D4" s="3">
        <v>186.9</v>
      </c>
      <c r="E4" s="3">
        <v>24789.7</v>
      </c>
      <c r="F4" s="18">
        <v>-92.31</v>
      </c>
      <c r="G4" s="3">
        <v>-95.297463000000008</v>
      </c>
      <c r="H4" s="19" t="s">
        <v>47</v>
      </c>
      <c r="I4" s="19" t="s">
        <v>49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44.670172084130016</v>
      </c>
      <c r="E5" s="4">
        <f>E4</f>
        <v>24789.7</v>
      </c>
      <c r="F5" s="5">
        <f>F4/4.184*1000</f>
        <v>-22062.619502868067</v>
      </c>
      <c r="G5" s="5">
        <f>G4/4.184*1000</f>
        <v>-22776.640296367113</v>
      </c>
      <c r="H5" s="17" t="s">
        <v>48</v>
      </c>
      <c r="J5" s="1" t="s">
        <v>59</v>
      </c>
      <c r="L5" s="20">
        <f>R19</f>
        <v>23.577364437799645</v>
      </c>
      <c r="M5" s="20">
        <f>R20</f>
        <v>6.5088133114830707E-3</v>
      </c>
      <c r="N5" s="20">
        <f>+R21</f>
        <v>76230.294146735774</v>
      </c>
      <c r="O5" s="20">
        <f>R22</f>
        <v>47.74157695939283</v>
      </c>
      <c r="P5" s="22" t="s">
        <v>47</v>
      </c>
      <c r="Q5" s="15" t="s">
        <v>18</v>
      </c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  <c r="Q6" t="s">
        <v>19</v>
      </c>
      <c r="R6">
        <v>0.99998660247666282</v>
      </c>
    </row>
    <row r="7" spans="1:22" x14ac:dyDescent="0.25">
      <c r="A7" s="23" t="s">
        <v>17</v>
      </c>
      <c r="D7" s="8">
        <f>G5</f>
        <v>-22776.640296367113</v>
      </c>
      <c r="E7" s="8">
        <f>F5</f>
        <v>-22062.619502868067</v>
      </c>
      <c r="F7" s="9">
        <f>D5</f>
        <v>44.670172084130016</v>
      </c>
      <c r="G7" s="9">
        <f>E5</f>
        <v>24789.7</v>
      </c>
      <c r="H7" s="17" t="s">
        <v>48</v>
      </c>
      <c r="J7" s="41" t="s">
        <v>46</v>
      </c>
      <c r="L7" s="12">
        <f>L5/4.184</f>
        <v>5.6351253436423621</v>
      </c>
      <c r="M7" s="12">
        <f>M5/4.184*1000</f>
        <v>1.5556437168936592</v>
      </c>
      <c r="N7" s="12">
        <f>N5/4.184/100000</f>
        <v>0.18219477568531492</v>
      </c>
      <c r="O7" s="16">
        <f>O5/4.184</f>
        <v>11.410510745552779</v>
      </c>
      <c r="P7" s="17" t="s">
        <v>48</v>
      </c>
      <c r="Q7" t="s">
        <v>20</v>
      </c>
      <c r="R7">
        <v>0.99997320513281918</v>
      </c>
    </row>
    <row r="8" spans="1:22" x14ac:dyDescent="0.25">
      <c r="H8" s="17"/>
      <c r="Q8" t="s">
        <v>21</v>
      </c>
      <c r="R8">
        <v>0.99995310898243361</v>
      </c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31.483582889103577</v>
      </c>
      <c r="M9" s="31">
        <f>R42</f>
        <v>3.6089438846153847E-3</v>
      </c>
      <c r="N9" s="31">
        <f>R43</f>
        <v>306423.92128290341</v>
      </c>
      <c r="O9" s="31">
        <f>R44</f>
        <v>-118.11926319560193</v>
      </c>
      <c r="P9" s="31" t="s">
        <v>47</v>
      </c>
      <c r="Q9" t="s">
        <v>22</v>
      </c>
      <c r="R9">
        <v>5.3009318801181763E-3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 t="s">
        <v>23</v>
      </c>
      <c r="R10" s="13">
        <v>8</v>
      </c>
    </row>
    <row r="11" spans="1:22" ht="15.75" x14ac:dyDescent="0.25">
      <c r="A11" s="18">
        <v>1800</v>
      </c>
      <c r="B11">
        <v>298.14999999999998</v>
      </c>
      <c r="C11" s="10">
        <v>17.38</v>
      </c>
      <c r="D11" s="10">
        <v>1.1650000000000001E-2</v>
      </c>
      <c r="E11" s="10">
        <v>-7597</v>
      </c>
      <c r="F11" s="10">
        <v>147.69999999999999</v>
      </c>
      <c r="G11" s="10">
        <v>-2.052E-6</v>
      </c>
      <c r="H11" s="33" t="s">
        <v>47</v>
      </c>
      <c r="I11" s="19" t="s">
        <v>50</v>
      </c>
      <c r="J11" s="41" t="s">
        <v>70</v>
      </c>
      <c r="L11" s="12">
        <f>L9/4.184</f>
        <v>7.5247569046614666</v>
      </c>
      <c r="M11" s="12">
        <f>M9/4.184*1000</f>
        <v>0.86255828982203264</v>
      </c>
      <c r="N11" s="12">
        <f>N9/4.184/100000</f>
        <v>0.73237074876410946</v>
      </c>
      <c r="O11" s="16">
        <f>O9/4.184</f>
        <v>-28.231181452103712</v>
      </c>
      <c r="P11" s="17" t="s">
        <v>48</v>
      </c>
    </row>
    <row r="12" spans="1:22" ht="15.75" thickBot="1" x14ac:dyDescent="0.3">
      <c r="Q12" t="s">
        <v>24</v>
      </c>
    </row>
    <row r="13" spans="1:22" x14ac:dyDescent="0.25">
      <c r="I13" s="36" t="s">
        <v>63</v>
      </c>
      <c r="J13" s="37"/>
      <c r="K13" s="38"/>
      <c r="L13" s="17" t="s">
        <v>56</v>
      </c>
      <c r="M13" s="17"/>
      <c r="N13" s="17" t="s">
        <v>62</v>
      </c>
      <c r="O13" s="17"/>
      <c r="Q13" s="14"/>
      <c r="R13" s="14" t="s">
        <v>29</v>
      </c>
      <c r="S13" s="14" t="s">
        <v>30</v>
      </c>
      <c r="T13" s="14" t="s">
        <v>31</v>
      </c>
      <c r="U13" s="14" t="s">
        <v>32</v>
      </c>
      <c r="V13" s="14" t="s">
        <v>33</v>
      </c>
    </row>
    <row r="14" spans="1:22" x14ac:dyDescent="0.25">
      <c r="I14" s="35" t="s">
        <v>53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  <c r="Q14" t="s">
        <v>25</v>
      </c>
      <c r="R14">
        <v>3</v>
      </c>
      <c r="S14">
        <v>4.1947027653458582</v>
      </c>
      <c r="T14">
        <v>1.398234255115286</v>
      </c>
      <c r="U14">
        <v>49759.440785632869</v>
      </c>
      <c r="V14">
        <v>1.3461721774031985E-9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  <c r="Q15" t="s">
        <v>26</v>
      </c>
      <c r="R15">
        <v>4</v>
      </c>
      <c r="S15">
        <v>1.1239951519061289E-4</v>
      </c>
      <c r="T15">
        <v>2.8099878797653222E-5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I16">
        <v>29.14</v>
      </c>
      <c r="J16" s="11">
        <f t="shared" ref="J16:J32" si="3">C$11+D$11*B16+E$11*B16^-2+F$11*B16^-0.5+G$11*B16^2</f>
        <v>29.139455027656965</v>
      </c>
      <c r="K16" s="11">
        <f t="shared" ref="K16:K32" si="4">J16/4.184</f>
        <v>6.9644968995356029</v>
      </c>
      <c r="L16" s="20">
        <f t="shared" ref="L16:L32" si="5">$L$5+($M$5)*B16+($N$5)*B16^-2+$O$5*B16^-0.5</f>
        <v>29.140413719504068</v>
      </c>
      <c r="M16" s="11">
        <f t="shared" ref="M16:M32" si="6">$L$7+($M$7*0.001)*B16+($N$7*100000)*B16^-2+$O$7*B16^-0.5</f>
        <v>6.964726032386249</v>
      </c>
      <c r="N16" s="32">
        <f t="shared" ref="N16:N32" si="7">$L$9+($M$9)*B16+($N$9)*B16^-2+$O$9*B16^-0.5</f>
        <v>29.165939058788993</v>
      </c>
      <c r="O16" s="11">
        <f>$L$11+($M$11*0.001)*D16+($N$11*100000)*D16^-2+$O$11*D16^-0.5</f>
        <v>6.9708267348922046</v>
      </c>
      <c r="Q16" s="13" t="s">
        <v>27</v>
      </c>
      <c r="R16" s="13">
        <v>7</v>
      </c>
      <c r="S16" s="13">
        <v>4.1948151648610486</v>
      </c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I17">
        <v>29.13</v>
      </c>
      <c r="J17" s="11">
        <f t="shared" si="3"/>
        <v>29.133372364819657</v>
      </c>
      <c r="K17" s="11">
        <f t="shared" si="4"/>
        <v>6.9630431082264952</v>
      </c>
      <c r="L17" s="20">
        <f t="shared" si="5"/>
        <v>29.133372930445901</v>
      </c>
      <c r="M17" s="11">
        <f t="shared" si="6"/>
        <v>6.9630432434144103</v>
      </c>
      <c r="N17" s="32">
        <f t="shared" si="7"/>
        <v>29.151357450718791</v>
      </c>
      <c r="O17" s="11">
        <f t="shared" ref="O17:O32" si="8">$L$11+($M$11*0.001)*D17+($N$11*100000)*D17^-2+$O$11*D17^-0.5</f>
        <v>6.9673416469213185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I18">
        <v>29.05</v>
      </c>
      <c r="J18" s="11">
        <f t="shared" si="3"/>
        <v>29.049198749999999</v>
      </c>
      <c r="K18" s="11">
        <f t="shared" si="4"/>
        <v>6.9429251314531539</v>
      </c>
      <c r="L18" s="20">
        <f t="shared" si="5"/>
        <v>29.044407948779611</v>
      </c>
      <c r="M18" s="11">
        <f t="shared" si="6"/>
        <v>6.941780102480787</v>
      </c>
      <c r="N18" s="32">
        <f t="shared" si="7"/>
        <v>28.936346791187777</v>
      </c>
      <c r="O18" s="11">
        <f t="shared" si="8"/>
        <v>6.9159528659626632</v>
      </c>
      <c r="Q18" s="14"/>
      <c r="R18" s="14" t="s">
        <v>34</v>
      </c>
      <c r="S18" s="14" t="s">
        <v>22</v>
      </c>
      <c r="T18" s="14" t="s">
        <v>35</v>
      </c>
      <c r="U18" s="14" t="s">
        <v>36</v>
      </c>
      <c r="V18" s="14" t="s">
        <v>37</v>
      </c>
      <c r="W18" s="14" t="s">
        <v>38</v>
      </c>
      <c r="X18" s="14" t="s">
        <v>39</v>
      </c>
      <c r="Y18" s="14" t="s">
        <v>40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I19">
        <v>29.27</v>
      </c>
      <c r="J19" s="11">
        <f t="shared" si="3"/>
        <v>29.266956805534377</v>
      </c>
      <c r="K19" s="11">
        <f t="shared" si="4"/>
        <v>6.9949705558160558</v>
      </c>
      <c r="L19" s="20">
        <f t="shared" si="5"/>
        <v>29.271760498812924</v>
      </c>
      <c r="M19" s="11">
        <f t="shared" si="6"/>
        <v>6.996118666064274</v>
      </c>
      <c r="N19" s="32">
        <f t="shared" si="7"/>
        <v>29.23129647739178</v>
      </c>
      <c r="O19" s="11">
        <f t="shared" si="8"/>
        <v>6.986447532837424</v>
      </c>
      <c r="Q19" t="s">
        <v>28</v>
      </c>
      <c r="R19" s="20">
        <v>23.577364437799645</v>
      </c>
      <c r="S19">
        <v>0.38207728360948912</v>
      </c>
      <c r="T19">
        <v>61.708364902157946</v>
      </c>
      <c r="U19">
        <v>4.1306190334865103E-7</v>
      </c>
      <c r="V19">
        <v>22.51654783391481</v>
      </c>
      <c r="W19">
        <v>24.638181041684479</v>
      </c>
      <c r="X19">
        <v>22.51654783391481</v>
      </c>
      <c r="Y19">
        <v>24.638181041684479</v>
      </c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I20">
        <v>29.64</v>
      </c>
      <c r="J20" s="11">
        <f t="shared" si="3"/>
        <v>29.640004472373477</v>
      </c>
      <c r="K20" s="11">
        <f t="shared" si="4"/>
        <v>7.0841310880433737</v>
      </c>
      <c r="L20" s="20">
        <f t="shared" si="5"/>
        <v>29.643444959535859</v>
      </c>
      <c r="M20" s="11">
        <f t="shared" si="6"/>
        <v>7.0849533842102916</v>
      </c>
      <c r="N20" s="32">
        <f t="shared" si="7"/>
        <v>29.677928051946424</v>
      </c>
      <c r="O20" s="11">
        <f t="shared" si="8"/>
        <v>7.0931950410961813</v>
      </c>
      <c r="Q20" t="s">
        <v>41</v>
      </c>
      <c r="R20" s="20">
        <v>6.5088133114830707E-3</v>
      </c>
      <c r="S20">
        <v>1.5700073296970172E-4</v>
      </c>
      <c r="T20">
        <v>41.457216080253289</v>
      </c>
      <c r="U20">
        <v>2.0233359644544317E-6</v>
      </c>
      <c r="V20">
        <v>6.0729093949168766E-3</v>
      </c>
      <c r="W20">
        <v>6.9447172280492648E-3</v>
      </c>
      <c r="X20">
        <v>6.0729093949168766E-3</v>
      </c>
      <c r="Y20">
        <v>6.9447172280492648E-3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I21">
        <v>30.1</v>
      </c>
      <c r="J21" s="11">
        <f t="shared" si="3"/>
        <v>30.096551184713633</v>
      </c>
      <c r="K21" s="11">
        <f t="shared" si="4"/>
        <v>7.1932483711074644</v>
      </c>
      <c r="L21" s="20">
        <f t="shared" si="5"/>
        <v>30.093567782317322</v>
      </c>
      <c r="M21" s="11">
        <f t="shared" si="6"/>
        <v>7.1925353208215386</v>
      </c>
      <c r="N21" s="32">
        <f t="shared" si="7"/>
        <v>30.170710043131635</v>
      </c>
      <c r="O21" s="11">
        <f t="shared" si="8"/>
        <v>7.2109727636547873</v>
      </c>
      <c r="Q21" t="s">
        <v>42</v>
      </c>
      <c r="R21" s="20">
        <v>76230.294146735774</v>
      </c>
      <c r="S21">
        <v>9922.7834133317774</v>
      </c>
      <c r="T21">
        <v>7.6823498983477148</v>
      </c>
      <c r="U21">
        <v>1.5439861202743003E-3</v>
      </c>
      <c r="V21">
        <v>48680.230708852905</v>
      </c>
      <c r="W21">
        <v>103780.35758461864</v>
      </c>
      <c r="X21">
        <v>48680.230708852905</v>
      </c>
      <c r="Y21">
        <v>103780.35758461864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I22">
        <v>30.6</v>
      </c>
      <c r="J22" s="11">
        <f t="shared" si="3"/>
        <v>30.596833266562651</v>
      </c>
      <c r="K22" s="11">
        <f t="shared" si="4"/>
        <v>7.3128186583562735</v>
      </c>
      <c r="L22" s="20">
        <f t="shared" si="5"/>
        <v>30.59144456221668</v>
      </c>
      <c r="M22" s="11">
        <f t="shared" si="6"/>
        <v>7.3115307271072361</v>
      </c>
      <c r="N22" s="32">
        <f t="shared" si="7"/>
        <v>30.673378774081982</v>
      </c>
      <c r="O22" s="11">
        <f t="shared" si="8"/>
        <v>7.3311134737289629</v>
      </c>
      <c r="Q22" s="13" t="s">
        <v>43</v>
      </c>
      <c r="R22" s="21">
        <v>47.74157695939283</v>
      </c>
      <c r="S22" s="13">
        <v>7.6886098160896887</v>
      </c>
      <c r="T22" s="13">
        <v>6.2093900069536208</v>
      </c>
      <c r="U22" s="13">
        <v>3.4226368649407737E-3</v>
      </c>
      <c r="V22" s="13">
        <v>26.394573869734906</v>
      </c>
      <c r="W22" s="13">
        <v>69.088580049050762</v>
      </c>
      <c r="X22" s="13">
        <v>26.394573869734906</v>
      </c>
      <c r="Y22" s="13">
        <v>69.088580049050762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I23">
        <v>31.12</v>
      </c>
      <c r="J23" s="11">
        <f t="shared" si="3"/>
        <v>31.116834320987657</v>
      </c>
      <c r="K23" s="11">
        <f t="shared" si="4"/>
        <v>7.4371018931614854</v>
      </c>
      <c r="L23" s="20">
        <f t="shared" si="5"/>
        <v>31.120793791036064</v>
      </c>
      <c r="M23" s="11">
        <f t="shared" si="6"/>
        <v>7.43804822921512</v>
      </c>
      <c r="N23" s="32">
        <f t="shared" si="7"/>
        <v>31.17262474945699</v>
      </c>
      <c r="O23" s="11">
        <f t="shared" si="8"/>
        <v>7.4504361255872338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I24">
        <v>31.64</v>
      </c>
      <c r="J24" s="11">
        <f t="shared" si="3"/>
        <v>31.641087104068696</v>
      </c>
      <c r="K24" s="11">
        <f t="shared" si="4"/>
        <v>7.5624013155039904</v>
      </c>
      <c r="L24" s="20">
        <f t="shared" si="5"/>
        <v>31.672129266228424</v>
      </c>
      <c r="M24" s="11">
        <f t="shared" si="6"/>
        <v>7.569820570322281</v>
      </c>
      <c r="N24" s="32">
        <f t="shared" si="7"/>
        <v>31.663691622611854</v>
      </c>
      <c r="O24" s="11">
        <f t="shared" si="8"/>
        <v>7.5678039250984357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I25">
        <v>32.159999999999997</v>
      </c>
      <c r="J25" s="11">
        <f t="shared" si="3"/>
        <v>32.159124047016874</v>
      </c>
      <c r="K25" s="11">
        <f t="shared" si="4"/>
        <v>7.6862151163998265</v>
      </c>
      <c r="L25" s="20">
        <f t="shared" si="5"/>
        <v>32.239522029656428</v>
      </c>
      <c r="M25" s="11">
        <f t="shared" si="6"/>
        <v>7.7054306954245764</v>
      </c>
      <c r="N25" s="32">
        <f t="shared" si="7"/>
        <v>32.145234285667584</v>
      </c>
      <c r="O25" s="11">
        <f t="shared" si="8"/>
        <v>7.6828953837637632</v>
      </c>
      <c r="Q25" s="34" t="s">
        <v>66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I26">
        <v>32.659999999999997</v>
      </c>
      <c r="J26" s="11">
        <f t="shared" si="3"/>
        <v>32.663576043520933</v>
      </c>
      <c r="K26" s="11">
        <f t="shared" si="4"/>
        <v>7.8067820371703949</v>
      </c>
      <c r="L26" s="20">
        <f t="shared" si="5"/>
        <v>32.819058731300032</v>
      </c>
      <c r="M26" s="11">
        <f t="shared" si="6"/>
        <v>7.8439432914197011</v>
      </c>
      <c r="N26" s="32">
        <f t="shared" si="7"/>
        <v>32.617300520298777</v>
      </c>
      <c r="O26" s="11">
        <f t="shared" si="8"/>
        <v>7.7957219216775293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I27">
        <v>33.15</v>
      </c>
      <c r="J27" s="11">
        <f t="shared" si="3"/>
        <v>33.14908568285113</v>
      </c>
      <c r="K27" s="11">
        <f t="shared" si="4"/>
        <v>7.9228216259204416</v>
      </c>
      <c r="L27" s="20">
        <f t="shared" si="5"/>
        <v>33.408041531028552</v>
      </c>
      <c r="M27" s="11">
        <f t="shared" si="6"/>
        <v>7.9847135590412401</v>
      </c>
      <c r="N27" s="32">
        <f t="shared" si="7"/>
        <v>33.080486945227776</v>
      </c>
      <c r="O27" s="11">
        <f t="shared" si="8"/>
        <v>7.9064261341366571</v>
      </c>
      <c r="Q27" s="28" t="s">
        <v>18</v>
      </c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I28">
        <v>33.61</v>
      </c>
      <c r="J28" s="11">
        <f t="shared" si="3"/>
        <v>33.611652522638337</v>
      </c>
      <c r="K28" s="11">
        <f t="shared" si="4"/>
        <v>8.0333777539766569</v>
      </c>
      <c r="L28" s="20">
        <f t="shared" si="5"/>
        <v>34.004543395996158</v>
      </c>
      <c r="M28" s="11">
        <f t="shared" si="6"/>
        <v>8.1272809263853141</v>
      </c>
      <c r="N28" s="32">
        <f t="shared" si="7"/>
        <v>33.535572965369823</v>
      </c>
      <c r="O28" s="11">
        <f t="shared" si="8"/>
        <v>8.0151943033866697</v>
      </c>
      <c r="Q28" s="25" t="s">
        <v>19</v>
      </c>
      <c r="R28" s="25">
        <v>0.99957933869324211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I29">
        <v>34.049999999999997</v>
      </c>
      <c r="J29" s="11">
        <f t="shared" si="3"/>
        <v>34.048221157121134</v>
      </c>
      <c r="K29" s="11">
        <f t="shared" si="4"/>
        <v>8.1377201618358352</v>
      </c>
      <c r="L29" s="20">
        <f t="shared" si="5"/>
        <v>34.607146752325519</v>
      </c>
      <c r="M29" s="11">
        <f t="shared" si="6"/>
        <v>8.2713065851638436</v>
      </c>
      <c r="N29" s="32">
        <f t="shared" si="7"/>
        <v>33.983360864000005</v>
      </c>
      <c r="O29" s="11">
        <f t="shared" si="8"/>
        <v>8.1222181797323163</v>
      </c>
      <c r="Q29" s="25" t="s">
        <v>20</v>
      </c>
      <c r="R29" s="25">
        <v>0.99915885434241924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I30">
        <v>34.46</v>
      </c>
      <c r="J30" s="11">
        <f t="shared" si="3"/>
        <v>34.456412421874994</v>
      </c>
      <c r="K30" s="11">
        <f t="shared" si="4"/>
        <v>8.2352802155532974</v>
      </c>
      <c r="L30" s="20">
        <f t="shared" si="5"/>
        <v>35.214782618808449</v>
      </c>
      <c r="M30" s="11">
        <f t="shared" si="6"/>
        <v>8.4165350427362444</v>
      </c>
      <c r="N30" s="32">
        <f t="shared" si="7"/>
        <v>34.424608368849277</v>
      </c>
      <c r="O30" s="11">
        <f t="shared" si="8"/>
        <v>8.2276788644477232</v>
      </c>
      <c r="Q30" s="25" t="s">
        <v>21</v>
      </c>
      <c r="R30" s="25">
        <v>0.99896474380605449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I31">
        <v>34.83</v>
      </c>
      <c r="J31" s="11">
        <f t="shared" si="3"/>
        <v>34.834342462063461</v>
      </c>
      <c r="K31" s="11">
        <f t="shared" si="4"/>
        <v>8.3256076630170792</v>
      </c>
      <c r="L31" s="20">
        <f t="shared" si="5"/>
        <v>35.82662765253815</v>
      </c>
      <c r="M31" s="11">
        <f t="shared" si="6"/>
        <v>8.5627695154249874</v>
      </c>
      <c r="N31" s="32">
        <f t="shared" si="7"/>
        <v>34.860003598658281</v>
      </c>
      <c r="O31" s="11">
        <f t="shared" si="8"/>
        <v>8.3317408218590536</v>
      </c>
      <c r="Q31" s="25" t="s">
        <v>22</v>
      </c>
      <c r="R31" s="25">
        <v>7.0242495569353802E-2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I32">
        <v>35.17</v>
      </c>
      <c r="J32" s="11">
        <f t="shared" si="3"/>
        <v>35.180497632955351</v>
      </c>
      <c r="K32" s="11">
        <f t="shared" si="4"/>
        <v>8.4083407344539562</v>
      </c>
      <c r="L32" s="20">
        <f t="shared" si="5"/>
        <v>36.442036027450513</v>
      </c>
      <c r="M32" s="11">
        <f t="shared" si="6"/>
        <v>8.7098556470962034</v>
      </c>
      <c r="N32" s="32">
        <f t="shared" si="7"/>
        <v>35.290159432612221</v>
      </c>
      <c r="O32" s="11">
        <f t="shared" si="8"/>
        <v>8.4345505336071263</v>
      </c>
      <c r="Q32" s="26" t="s">
        <v>23</v>
      </c>
      <c r="R32" s="26">
        <v>17</v>
      </c>
    </row>
    <row r="34" spans="17:25" ht="15.75" thickBot="1" x14ac:dyDescent="0.3">
      <c r="Q34" t="s">
        <v>24</v>
      </c>
    </row>
    <row r="35" spans="17:25" x14ac:dyDescent="0.25">
      <c r="Q35" s="27"/>
      <c r="R35" s="27" t="s">
        <v>29</v>
      </c>
      <c r="S35" s="27" t="s">
        <v>30</v>
      </c>
      <c r="T35" s="27" t="s">
        <v>31</v>
      </c>
      <c r="U35" s="27" t="s">
        <v>32</v>
      </c>
      <c r="V35" s="27" t="s">
        <v>33</v>
      </c>
    </row>
    <row r="36" spans="17:25" x14ac:dyDescent="0.25">
      <c r="Q36" s="25" t="s">
        <v>25</v>
      </c>
      <c r="R36" s="25">
        <v>3</v>
      </c>
      <c r="S36" s="25">
        <v>76.191504952433945</v>
      </c>
      <c r="T36" s="25">
        <v>25.397168317477981</v>
      </c>
      <c r="U36" s="25">
        <v>5147.370529463321</v>
      </c>
      <c r="V36" s="25">
        <v>3.1207377395374645E-20</v>
      </c>
    </row>
    <row r="37" spans="17:25" x14ac:dyDescent="0.25">
      <c r="Q37" s="25" t="s">
        <v>26</v>
      </c>
      <c r="R37" s="25">
        <v>13</v>
      </c>
      <c r="S37" s="25">
        <v>6.4142106389538947E-2</v>
      </c>
      <c r="T37" s="25">
        <v>4.9340081838106882E-3</v>
      </c>
      <c r="U37" s="25"/>
      <c r="V37" s="25"/>
    </row>
    <row r="38" spans="17:25" ht="15.75" thickBot="1" x14ac:dyDescent="0.3">
      <c r="Q38" s="26" t="s">
        <v>27</v>
      </c>
      <c r="R38" s="26">
        <v>16</v>
      </c>
      <c r="S38" s="26">
        <v>76.255647058823484</v>
      </c>
      <c r="T38" s="26"/>
      <c r="U38" s="26"/>
      <c r="V38" s="26"/>
    </row>
    <row r="39" spans="17:25" ht="15.75" thickBot="1" x14ac:dyDescent="0.3"/>
    <row r="40" spans="17:25" x14ac:dyDescent="0.25">
      <c r="Q40" s="27"/>
      <c r="R40" s="27" t="s">
        <v>34</v>
      </c>
      <c r="S40" s="27" t="s">
        <v>22</v>
      </c>
      <c r="T40" s="27" t="s">
        <v>35</v>
      </c>
      <c r="U40" s="27" t="s">
        <v>36</v>
      </c>
      <c r="V40" s="27" t="s">
        <v>37</v>
      </c>
      <c r="W40" s="27" t="s">
        <v>38</v>
      </c>
      <c r="X40" s="27" t="s">
        <v>39</v>
      </c>
      <c r="Y40" s="27" t="s">
        <v>40</v>
      </c>
    </row>
    <row r="41" spans="17:25" x14ac:dyDescent="0.25">
      <c r="Q41" s="25" t="s">
        <v>28</v>
      </c>
      <c r="R41" s="29">
        <v>31.483582889103577</v>
      </c>
      <c r="S41" s="25">
        <v>0.89299264734971784</v>
      </c>
      <c r="T41" s="25">
        <v>35.256262168051016</v>
      </c>
      <c r="U41" s="25">
        <v>2.7275438175775416E-14</v>
      </c>
      <c r="V41" s="25">
        <v>29.554389563317514</v>
      </c>
      <c r="W41" s="25">
        <v>33.412776214889639</v>
      </c>
      <c r="X41" s="25">
        <v>29.554389563317514</v>
      </c>
      <c r="Y41" s="25">
        <v>33.412776214889639</v>
      </c>
    </row>
    <row r="42" spans="17:25" x14ac:dyDescent="0.25">
      <c r="Q42" s="25" t="s">
        <v>41</v>
      </c>
      <c r="R42" s="29">
        <v>3.6089438846153847E-3</v>
      </c>
      <c r="S42" s="25">
        <v>2.4269103154363707E-4</v>
      </c>
      <c r="T42" s="25">
        <v>14.870528431399734</v>
      </c>
      <c r="U42" s="25">
        <v>1.5362809736888928E-9</v>
      </c>
      <c r="V42" s="25">
        <v>3.0846417868638882E-3</v>
      </c>
      <c r="W42" s="25">
        <v>4.1332459823668812E-3</v>
      </c>
      <c r="X42" s="25">
        <v>3.0846417868638882E-3</v>
      </c>
      <c r="Y42" s="25">
        <v>4.1332459823668812E-3</v>
      </c>
    </row>
    <row r="43" spans="17:25" x14ac:dyDescent="0.25">
      <c r="Q43" s="25" t="s">
        <v>42</v>
      </c>
      <c r="R43" s="29">
        <v>306423.92128290341</v>
      </c>
      <c r="S43" s="25">
        <v>39039.643122402951</v>
      </c>
      <c r="T43" s="25">
        <v>7.8490451442436893</v>
      </c>
      <c r="U43" s="25">
        <v>2.7530260485043342E-6</v>
      </c>
      <c r="V43" s="25">
        <v>222083.89992177085</v>
      </c>
      <c r="W43" s="25">
        <v>390763.94264403597</v>
      </c>
      <c r="X43" s="25">
        <v>222083.89992177085</v>
      </c>
      <c r="Y43" s="25">
        <v>390763.94264403597</v>
      </c>
    </row>
    <row r="44" spans="17:25" ht="15.75" thickBot="1" x14ac:dyDescent="0.3">
      <c r="Q44" s="26" t="s">
        <v>43</v>
      </c>
      <c r="R44" s="30">
        <v>-118.11926319560193</v>
      </c>
      <c r="S44" s="26">
        <v>21.323444880931902</v>
      </c>
      <c r="T44" s="26">
        <v>-5.539408095416511</v>
      </c>
      <c r="U44" s="26">
        <v>9.5544200063422757E-5</v>
      </c>
      <c r="V44" s="26">
        <v>-164.1857651641792</v>
      </c>
      <c r="W44" s="26">
        <v>-72.052761227024661</v>
      </c>
      <c r="X44" s="26">
        <v>-164.1857651641792</v>
      </c>
      <c r="Y44" s="26">
        <v>-72.052761227024661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0C59-4375-4DCD-BA27-B3C89399BC35}">
  <dimension ref="A3:Y32"/>
  <sheetViews>
    <sheetView zoomScaleNormal="100" workbookViewId="0">
      <selection activeCell="O26" sqref="O26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36.460999999999999</v>
      </c>
      <c r="D4" s="3"/>
      <c r="E4" s="3"/>
      <c r="F4" s="18"/>
      <c r="G4" s="3"/>
      <c r="H4" s="19" t="s">
        <v>47</v>
      </c>
      <c r="J4" s="17"/>
      <c r="P4" s="2"/>
    </row>
    <row r="5" spans="1:18" x14ac:dyDescent="0.25">
      <c r="D5" s="4"/>
      <c r="E5" s="4"/>
      <c r="F5" s="5"/>
      <c r="G5" s="5"/>
      <c r="H5" s="17" t="s">
        <v>48</v>
      </c>
      <c r="J5" s="1"/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/>
    </row>
    <row r="7" spans="1:18" ht="15.75" x14ac:dyDescent="0.25">
      <c r="A7" s="23" t="s">
        <v>17</v>
      </c>
      <c r="D7" s="8">
        <v>-22777</v>
      </c>
      <c r="E7" s="8">
        <v>-22063</v>
      </c>
      <c r="F7" s="9">
        <v>44.643000000000001</v>
      </c>
      <c r="G7" s="9">
        <v>0</v>
      </c>
      <c r="H7" s="17" t="s">
        <v>48</v>
      </c>
      <c r="J7" s="1"/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7.5614242940573551</v>
      </c>
      <c r="M9" s="31">
        <f>R30</f>
        <v>8.5142234151282562E-4</v>
      </c>
      <c r="N9" s="31">
        <f>R31</f>
        <v>76084.087174927539</v>
      </c>
      <c r="O9" s="31">
        <f>R32</f>
        <v>-29.241342748695896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</f>
        <v>7.5614242940573551</v>
      </c>
      <c r="M11" s="12">
        <f>M9*1000</f>
        <v>0.85142234151282559</v>
      </c>
      <c r="N11" s="12">
        <f>N9/100000</f>
        <v>0.76084087174927539</v>
      </c>
      <c r="O11" s="16">
        <f>O9</f>
        <v>-29.241342748695896</v>
      </c>
      <c r="P11" s="17" t="s">
        <v>48</v>
      </c>
    </row>
    <row r="13" spans="1:18" x14ac:dyDescent="0.25">
      <c r="J13" s="37"/>
      <c r="K13" s="36" t="s">
        <v>63</v>
      </c>
      <c r="L13" s="17"/>
      <c r="M13" s="17"/>
      <c r="N13" s="17" t="s">
        <v>62</v>
      </c>
      <c r="O13" s="17"/>
      <c r="Q13" t="s">
        <v>68</v>
      </c>
    </row>
    <row r="14" spans="1:18" ht="15.75" thickBot="1" x14ac:dyDescent="0.3">
      <c r="J14" s="17"/>
      <c r="K14" s="35" t="s">
        <v>69</v>
      </c>
      <c r="L14" s="17"/>
      <c r="M14" s="17"/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16</v>
      </c>
      <c r="L15" s="40" t="s">
        <v>75</v>
      </c>
      <c r="M15" s="38" t="s">
        <v>76</v>
      </c>
      <c r="N15" s="38" t="s">
        <v>16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6.9640000000000004</v>
      </c>
      <c r="L16">
        <f>K16*4.181</f>
        <v>29.116484000000003</v>
      </c>
      <c r="M16" s="11">
        <f>N16*4.184</f>
        <v>29.194691968811245</v>
      </c>
      <c r="N16" s="32">
        <f t="shared" ref="N16:N32" si="3">$L$9+($M$9)*B16+($N$9)*B16^-2+$O$9*B16^-0.5</f>
        <v>6.9776988453181747</v>
      </c>
      <c r="O16" s="39">
        <f>$L$11+($M$11*0.001)*D16+($N$11*100000)*D16^-2+$O$11*D16^-0.5</f>
        <v>6.9776988453181747</v>
      </c>
      <c r="Q16" s="25" t="s">
        <v>19</v>
      </c>
      <c r="R16" s="25">
        <v>0.99834775168876522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6.9640000000000004</v>
      </c>
      <c r="L17">
        <f t="shared" ref="L17:L32" si="4">K17*4.181</f>
        <v>29.116484000000003</v>
      </c>
      <c r="M17" s="11">
        <f t="shared" ref="M17:M32" si="5">N17*4.184</f>
        <v>29.179132454543709</v>
      </c>
      <c r="N17" s="32">
        <f t="shared" si="3"/>
        <v>6.9739800321567182</v>
      </c>
      <c r="O17" s="39">
        <f t="shared" ref="O17:O32" si="6">$L$11+($M$11*0.001)*D17+($N$11*100000)*D17^-2+$O$11*D17^-0.5</f>
        <v>6.9739800321567182</v>
      </c>
      <c r="Q17" s="25" t="s">
        <v>20</v>
      </c>
      <c r="R17" s="25">
        <v>0.99669823330201235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6.9729999999999999</v>
      </c>
      <c r="L18">
        <f t="shared" si="4"/>
        <v>29.154112999999999</v>
      </c>
      <c r="M18" s="11">
        <f t="shared" si="5"/>
        <v>28.934249653689012</v>
      </c>
      <c r="N18" s="32">
        <f t="shared" si="3"/>
        <v>6.9154516380709872</v>
      </c>
      <c r="O18" s="39">
        <f t="shared" si="6"/>
        <v>6.9154516380709872</v>
      </c>
      <c r="Q18" s="25" t="s">
        <v>21</v>
      </c>
      <c r="R18" s="25">
        <v>0.99593628714093829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7.0039999999999996</v>
      </c>
      <c r="L19">
        <f t="shared" si="4"/>
        <v>29.283723999999999</v>
      </c>
      <c r="M19" s="11">
        <f t="shared" si="5"/>
        <v>29.220048537670834</v>
      </c>
      <c r="N19" s="32">
        <f t="shared" si="3"/>
        <v>6.9837592107243864</v>
      </c>
      <c r="O19" s="39">
        <f t="shared" si="6"/>
        <v>6.9837592107243864</v>
      </c>
      <c r="Q19" s="25" t="s">
        <v>22</v>
      </c>
      <c r="R19" s="25">
        <v>3.3135432970871029E-2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7.069</v>
      </c>
      <c r="L20">
        <f t="shared" si="4"/>
        <v>29.555489000000001</v>
      </c>
      <c r="M20" s="11">
        <f t="shared" si="5"/>
        <v>29.663930587322898</v>
      </c>
      <c r="N20" s="32">
        <f t="shared" si="3"/>
        <v>7.0898495667597743</v>
      </c>
      <c r="O20" s="39">
        <f t="shared" si="6"/>
        <v>7.0898495667597743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7.1669999999999998</v>
      </c>
      <c r="L21">
        <f t="shared" si="4"/>
        <v>29.965226999999999</v>
      </c>
      <c r="M21" s="11">
        <f t="shared" si="5"/>
        <v>30.156074187488521</v>
      </c>
      <c r="N21" s="32">
        <f t="shared" si="3"/>
        <v>7.2074747102028009</v>
      </c>
      <c r="O21" s="39">
        <f t="shared" si="6"/>
        <v>7.2074747102028009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7.2889999999999997</v>
      </c>
      <c r="L22">
        <f t="shared" si="4"/>
        <v>30.475308999999999</v>
      </c>
      <c r="M22" s="11">
        <f t="shared" si="5"/>
        <v>30.658703361946063</v>
      </c>
      <c r="N22" s="32">
        <f t="shared" si="3"/>
        <v>7.327605966048294</v>
      </c>
      <c r="O22" s="39">
        <f t="shared" si="6"/>
        <v>7.327605966048294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7.423</v>
      </c>
      <c r="L23">
        <f t="shared" si="4"/>
        <v>31.035563</v>
      </c>
      <c r="M23" s="11">
        <f t="shared" si="5"/>
        <v>31.15792979961719</v>
      </c>
      <c r="N23" s="32">
        <f t="shared" si="3"/>
        <v>7.446923948283267</v>
      </c>
      <c r="O23" s="39">
        <f t="shared" si="6"/>
        <v>7.446923948283267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7.5590000000000002</v>
      </c>
      <c r="L24">
        <f t="shared" si="4"/>
        <v>31.604179000000002</v>
      </c>
      <c r="M24" s="11">
        <f t="shared" si="5"/>
        <v>31.648772936197783</v>
      </c>
      <c r="N24" s="32">
        <f t="shared" si="3"/>
        <v>7.564238273469833</v>
      </c>
      <c r="O24" s="39">
        <f t="shared" si="6"/>
        <v>7.564238273469833</v>
      </c>
      <c r="Q24" s="25" t="s">
        <v>25</v>
      </c>
      <c r="R24" s="25">
        <v>3</v>
      </c>
      <c r="S24" s="25">
        <v>4.3086970306520609</v>
      </c>
      <c r="T24" s="25">
        <v>1.436232343550687</v>
      </c>
      <c r="U24" s="25">
        <v>1308.095354003791</v>
      </c>
      <c r="V24" s="25">
        <v>2.2593421228967789E-16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7.6929999999999996</v>
      </c>
      <c r="L25">
        <f t="shared" si="4"/>
        <v>32.164432999999995</v>
      </c>
      <c r="M25" s="11">
        <f t="shared" si="5"/>
        <v>32.129808881426825</v>
      </c>
      <c r="N25" s="32">
        <f t="shared" si="3"/>
        <v>7.6792086236679795</v>
      </c>
      <c r="O25" s="39">
        <f t="shared" si="6"/>
        <v>7.6792086236679795</v>
      </c>
      <c r="Q25" s="25" t="s">
        <v>26</v>
      </c>
      <c r="R25" s="25">
        <v>13</v>
      </c>
      <c r="S25" s="25">
        <v>1.4273439936172128E-2</v>
      </c>
      <c r="T25" s="25">
        <v>1.0979569181670868E-3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7.819</v>
      </c>
      <c r="L26">
        <f t="shared" si="4"/>
        <v>32.691239000000003</v>
      </c>
      <c r="M26" s="11">
        <f t="shared" si="5"/>
        <v>32.601068685910597</v>
      </c>
      <c r="N26" s="32">
        <f t="shared" si="3"/>
        <v>7.7918424201507168</v>
      </c>
      <c r="O26" s="39">
        <f t="shared" si="6"/>
        <v>7.7918424201507168</v>
      </c>
      <c r="Q26" s="26" t="s">
        <v>27</v>
      </c>
      <c r="R26" s="26">
        <v>16</v>
      </c>
      <c r="S26" s="26">
        <v>4.322970470588233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7.9359999999999999</v>
      </c>
      <c r="L27">
        <f t="shared" si="4"/>
        <v>33.180416000000001</v>
      </c>
      <c r="M27" s="11">
        <f t="shared" si="5"/>
        <v>33.063158682387296</v>
      </c>
      <c r="N27" s="32">
        <f t="shared" si="3"/>
        <v>7.9022845799204822</v>
      </c>
      <c r="O27" s="39">
        <f t="shared" si="6"/>
        <v>7.9022845799204822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8.0429999999999993</v>
      </c>
      <c r="L28">
        <f t="shared" si="4"/>
        <v>33.627782999999994</v>
      </c>
      <c r="M28" s="11">
        <f t="shared" si="5"/>
        <v>33.516878530332605</v>
      </c>
      <c r="N28" s="32">
        <f t="shared" si="3"/>
        <v>8.0107262261789209</v>
      </c>
      <c r="O28" s="39">
        <f t="shared" si="6"/>
        <v>8.0107262261789209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8.141</v>
      </c>
      <c r="L29">
        <f t="shared" si="4"/>
        <v>34.037520999999998</v>
      </c>
      <c r="M29" s="11">
        <f t="shared" si="5"/>
        <v>33.963054042617486</v>
      </c>
      <c r="N29" s="32">
        <f t="shared" si="3"/>
        <v>8.1173647329391692</v>
      </c>
      <c r="O29" s="39">
        <f t="shared" si="6"/>
        <v>8.1173647329391692</v>
      </c>
      <c r="Q29" s="25" t="s">
        <v>28</v>
      </c>
      <c r="R29" s="25">
        <v>7.5614242940573551</v>
      </c>
      <c r="S29" s="25">
        <v>0.42125066556785284</v>
      </c>
      <c r="T29" s="25">
        <v>17.949940289980148</v>
      </c>
      <c r="U29" s="25">
        <v>1.4798074033881114E-10</v>
      </c>
      <c r="V29" s="25">
        <v>6.6513675596504758</v>
      </c>
      <c r="W29" s="25">
        <v>8.4714810284642343</v>
      </c>
      <c r="X29" s="25">
        <v>6.6513675596504758</v>
      </c>
      <c r="Y29" s="25">
        <v>8.4714810284642343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8.2289999999999992</v>
      </c>
      <c r="L30">
        <f t="shared" si="4"/>
        <v>34.405448999999997</v>
      </c>
      <c r="M30" s="11">
        <f t="shared" si="5"/>
        <v>34.402466447822363</v>
      </c>
      <c r="N30" s="32">
        <f t="shared" si="3"/>
        <v>8.2223868183131845</v>
      </c>
      <c r="O30" s="39">
        <f t="shared" si="6"/>
        <v>8.2223868183131845</v>
      </c>
      <c r="Q30" s="25" t="s">
        <v>41</v>
      </c>
      <c r="R30" s="25">
        <v>8.5142234151282562E-4</v>
      </c>
      <c r="S30" s="25">
        <v>1.1448443485903489E-4</v>
      </c>
      <c r="T30" s="25">
        <v>7.4370139710361949</v>
      </c>
      <c r="U30" s="25">
        <v>4.9248701856512428E-6</v>
      </c>
      <c r="V30" s="25">
        <v>6.0409375679051024E-4</v>
      </c>
      <c r="W30" s="25">
        <v>1.098750926235141E-3</v>
      </c>
      <c r="X30" s="25">
        <v>6.0409375679051024E-4</v>
      </c>
      <c r="Y30" s="25">
        <v>1.098750926235141E-3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8.31</v>
      </c>
      <c r="L31">
        <f t="shared" si="4"/>
        <v>34.744109999999999</v>
      </c>
      <c r="M31" s="11">
        <f t="shared" si="5"/>
        <v>34.835825904825541</v>
      </c>
      <c r="N31" s="32">
        <f t="shared" si="3"/>
        <v>8.3259622143464487</v>
      </c>
      <c r="O31" s="39">
        <f t="shared" si="6"/>
        <v>8.3259622143464487</v>
      </c>
      <c r="Q31" s="25" t="s">
        <v>42</v>
      </c>
      <c r="R31" s="25">
        <v>76084.087174927539</v>
      </c>
      <c r="S31" s="25">
        <v>18416.137800968077</v>
      </c>
      <c r="T31" s="25">
        <v>4.1313812916260888</v>
      </c>
      <c r="U31" s="25">
        <v>1.1816464671639544E-3</v>
      </c>
      <c r="V31" s="25">
        <v>36298.440296616485</v>
      </c>
      <c r="W31" s="25">
        <v>115869.73405323859</v>
      </c>
      <c r="X31" s="25">
        <v>36298.440296616485</v>
      </c>
      <c r="Y31" s="25">
        <v>115869.73405323859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8.3819999999999997</v>
      </c>
      <c r="L32">
        <f t="shared" si="4"/>
        <v>35.045141999999998</v>
      </c>
      <c r="M32" s="11">
        <f t="shared" si="5"/>
        <v>35.263765337390204</v>
      </c>
      <c r="N32" s="32">
        <f t="shared" si="3"/>
        <v>8.4282421934489005</v>
      </c>
      <c r="O32" s="39">
        <f t="shared" si="6"/>
        <v>8.4282421934489005</v>
      </c>
      <c r="Q32" s="26" t="s">
        <v>43</v>
      </c>
      <c r="R32" s="26">
        <v>-29.241342748695896</v>
      </c>
      <c r="S32" s="26">
        <v>10.058890602236074</v>
      </c>
      <c r="T32" s="26">
        <v>-2.9070146902875744</v>
      </c>
      <c r="U32" s="26">
        <v>1.2241956324622669E-2</v>
      </c>
      <c r="V32" s="26">
        <v>-50.972254724554858</v>
      </c>
      <c r="W32" s="26">
        <v>-7.5104307728369371</v>
      </c>
      <c r="X32" s="26">
        <v>-50.972254724554858</v>
      </c>
      <c r="Y32" s="26">
        <v>-7.5104307728369371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2DCA-2BA7-4C27-B0C0-1B982F196579}">
  <dimension ref="A1:Y32"/>
  <sheetViews>
    <sheetView zoomScaleNormal="100" workbookViewId="0">
      <selection activeCell="O26" sqref="O26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18" x14ac:dyDescent="0.25">
      <c r="A1" s="17" t="s">
        <v>73</v>
      </c>
      <c r="L1" s="17"/>
    </row>
    <row r="2" spans="1:18" x14ac:dyDescent="0.25">
      <c r="A2" s="17"/>
      <c r="L2" s="17"/>
    </row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36.460999999999999</v>
      </c>
      <c r="D4" s="3">
        <v>186.90100000000001</v>
      </c>
      <c r="E4" s="3"/>
      <c r="F4" s="18">
        <v>-92.313999999999993</v>
      </c>
      <c r="G4" s="3">
        <v>-95.3</v>
      </c>
      <c r="H4" s="19" t="s">
        <v>47</v>
      </c>
      <c r="J4" s="17"/>
      <c r="P4" s="2"/>
    </row>
    <row r="5" spans="1:18" x14ac:dyDescent="0.25">
      <c r="D5" s="4">
        <f>D4/4.184</f>
        <v>44.670411089866157</v>
      </c>
      <c r="E5" s="4">
        <f>E4</f>
        <v>0</v>
      </c>
      <c r="F5" s="5">
        <f>F4/4.184*1000</f>
        <v>-22063.575525812616</v>
      </c>
      <c r="G5" s="5">
        <f>G4/4.184*1000</f>
        <v>-22777.246653919694</v>
      </c>
      <c r="H5" s="17" t="s">
        <v>48</v>
      </c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</row>
    <row r="7" spans="1:18" ht="15.75" x14ac:dyDescent="0.25">
      <c r="A7" s="23" t="s">
        <v>17</v>
      </c>
      <c r="D7" s="8">
        <f>G5</f>
        <v>-22777.246653919694</v>
      </c>
      <c r="E7" s="8">
        <f>F5</f>
        <v>-22063.575525812616</v>
      </c>
      <c r="F7" s="9">
        <f>D5</f>
        <v>44.670411089866157</v>
      </c>
      <c r="G7" s="9">
        <f>E5</f>
        <v>0</v>
      </c>
      <c r="H7" s="17" t="s">
        <v>48</v>
      </c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31.617822967482741</v>
      </c>
      <c r="M9" s="31">
        <f>R30</f>
        <v>3.5680113308300112E-3</v>
      </c>
      <c r="N9" s="31">
        <f>R31</f>
        <v>317819.26171925775</v>
      </c>
      <c r="O9" s="31">
        <f>R32</f>
        <v>-121.95657501001311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L9/4.184</f>
        <v>7.556841053413657</v>
      </c>
      <c r="M11" s="12">
        <f>M9/4.184*1000</f>
        <v>0.85277517467256481</v>
      </c>
      <c r="N11" s="12">
        <f>N9/4.184/100000</f>
        <v>0.75960626605941139</v>
      </c>
      <c r="O11" s="16">
        <f>O9/4.184</f>
        <v>-29.148320987096824</v>
      </c>
      <c r="P11" s="17" t="s">
        <v>48</v>
      </c>
    </row>
    <row r="13" spans="1:18" x14ac:dyDescent="0.25">
      <c r="J13" s="37"/>
      <c r="K13" s="38"/>
      <c r="N13" s="17" t="s">
        <v>62</v>
      </c>
      <c r="O13" s="17"/>
      <c r="Q13" t="s">
        <v>68</v>
      </c>
    </row>
    <row r="14" spans="1:18" ht="15.75" thickBot="1" x14ac:dyDescent="0.3">
      <c r="J14" s="17"/>
      <c r="K14" s="36" t="s">
        <v>63</v>
      </c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15</v>
      </c>
      <c r="N15" s="38" t="s">
        <v>15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29.135999999999999</v>
      </c>
      <c r="N16" s="32">
        <f t="shared" ref="N16:N32" si="3">$L$9+($M$9)*B16+($N$9)*B16^-2+$O$9*B16^-0.5</f>
        <v>29.193932557262542</v>
      </c>
      <c r="O16" s="39">
        <f>$L$11+($M$11*0.001)*D16+($N$11*100000)*D16^-2+$O$11*D16^-0.5</f>
        <v>6.9775173416019456</v>
      </c>
      <c r="Q16" s="25" t="s">
        <v>19</v>
      </c>
      <c r="R16" s="25">
        <v>0.99834143273529119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29.137</v>
      </c>
      <c r="N17" s="32">
        <f t="shared" si="3"/>
        <v>29.178385355798135</v>
      </c>
      <c r="O17" s="39">
        <f t="shared" ref="O17:O32" si="4">$L$11+($M$11*0.001)*D17+($N$11*100000)*D17^-2+$O$11*D17^-0.5</f>
        <v>6.9738014712710648</v>
      </c>
      <c r="Q17" s="25" t="s">
        <v>20</v>
      </c>
      <c r="R17" s="25">
        <v>0.99668561631595398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29.175000000000001</v>
      </c>
      <c r="N18" s="32">
        <f t="shared" si="3"/>
        <v>28.933569135059447</v>
      </c>
      <c r="O18" s="39">
        <f t="shared" si="4"/>
        <v>6.9152889902149743</v>
      </c>
      <c r="Q18" s="25" t="s">
        <v>21</v>
      </c>
      <c r="R18" s="25">
        <v>0.99592075854271256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29.303999999999998</v>
      </c>
      <c r="N19" s="32">
        <f t="shared" si="3"/>
        <v>29.219041839265948</v>
      </c>
      <c r="O19" s="39">
        <f t="shared" si="4"/>
        <v>6.9835186040310582</v>
      </c>
      <c r="Q19" s="25" t="s">
        <v>22</v>
      </c>
      <c r="R19" s="25">
        <v>0.13891621224087072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29.574999999999999</v>
      </c>
      <c r="N20" s="32">
        <f t="shared" si="3"/>
        <v>29.662604722667673</v>
      </c>
      <c r="O20" s="39">
        <f t="shared" si="4"/>
        <v>7.0895326775018317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29.984999999999999</v>
      </c>
      <c r="N21" s="32">
        <f t="shared" si="3"/>
        <v>30.15451637689932</v>
      </c>
      <c r="O21" s="39">
        <f t="shared" si="4"/>
        <v>7.207102384536169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30.494</v>
      </c>
      <c r="N22" s="32">
        <f t="shared" si="3"/>
        <v>30.657008568589788</v>
      </c>
      <c r="O22" s="39">
        <f t="shared" si="4"/>
        <v>7.3272009007145762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31.055</v>
      </c>
      <c r="N23" s="32">
        <f t="shared" si="3"/>
        <v>31.156183457141978</v>
      </c>
      <c r="O23" s="39">
        <f t="shared" si="4"/>
        <v>7.4465065624144309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31.628</v>
      </c>
      <c r="N24" s="32">
        <f t="shared" si="3"/>
        <v>31.647048033383875</v>
      </c>
      <c r="O24" s="39">
        <f t="shared" si="4"/>
        <v>7.5638260118030285</v>
      </c>
      <c r="Q24" s="25" t="s">
        <v>25</v>
      </c>
      <c r="R24" s="25">
        <v>3</v>
      </c>
      <c r="S24" s="25">
        <v>75.440511952990605</v>
      </c>
      <c r="T24" s="25">
        <v>25.146837317663536</v>
      </c>
      <c r="U24" s="25">
        <v>1303.0992835335489</v>
      </c>
      <c r="V24" s="25">
        <v>2.316040847578879E-16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32.186</v>
      </c>
      <c r="N25" s="32">
        <f t="shared" si="3"/>
        <v>32.128166887134377</v>
      </c>
      <c r="O25" s="39">
        <f t="shared" si="4"/>
        <v>7.6788161776133794</v>
      </c>
      <c r="Q25" s="25" t="s">
        <v>26</v>
      </c>
      <c r="R25" s="25">
        <v>13</v>
      </c>
      <c r="S25" s="25">
        <v>0.25087028230355829</v>
      </c>
      <c r="T25" s="25">
        <v>1.9297714023350638E-2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32.713000000000001</v>
      </c>
      <c r="N26" s="32">
        <f t="shared" si="3"/>
        <v>32.599561314543337</v>
      </c>
      <c r="O26" s="39">
        <f t="shared" si="4"/>
        <v>7.7914821497474502</v>
      </c>
      <c r="Q26" s="26" t="s">
        <v>27</v>
      </c>
      <c r="R26" s="26">
        <v>16</v>
      </c>
      <c r="S26" s="26">
        <v>75.691382235294157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33.203000000000003</v>
      </c>
      <c r="N27" s="32">
        <f t="shared" si="3"/>
        <v>33.061829627856319</v>
      </c>
      <c r="O27" s="39">
        <f t="shared" si="4"/>
        <v>7.9019669282639402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33.651000000000003</v>
      </c>
      <c r="N28" s="32">
        <f t="shared" si="3"/>
        <v>33.51576494553921</v>
      </c>
      <c r="O28" s="39">
        <f t="shared" si="4"/>
        <v>8.0104600730256266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34.06</v>
      </c>
      <c r="N29" s="32">
        <f t="shared" si="3"/>
        <v>33.962187742441145</v>
      </c>
      <c r="O29" s="39">
        <f t="shared" si="4"/>
        <v>8.1171576822278055</v>
      </c>
      <c r="Q29" s="25" t="s">
        <v>28</v>
      </c>
      <c r="R29" s="29">
        <v>31.617822967482741</v>
      </c>
      <c r="S29" s="25">
        <v>1.7660414130117108</v>
      </c>
      <c r="T29" s="25">
        <v>17.903217180826712</v>
      </c>
      <c r="U29" s="25">
        <v>1.5289247569227385E-10</v>
      </c>
      <c r="V29" s="25">
        <v>27.802522452796978</v>
      </c>
      <c r="W29" s="25">
        <v>35.433123482168504</v>
      </c>
      <c r="X29" s="25">
        <v>27.802522452796978</v>
      </c>
      <c r="Y29" s="25">
        <v>35.433123482168504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34.430999999999997</v>
      </c>
      <c r="N30" s="32">
        <f t="shared" si="3"/>
        <v>34.401874870669516</v>
      </c>
      <c r="O30" s="39">
        <f t="shared" si="4"/>
        <v>8.2222454279802868</v>
      </c>
      <c r="Q30" s="25" t="s">
        <v>41</v>
      </c>
      <c r="R30" s="29">
        <v>3.5680113308300112E-3</v>
      </c>
      <c r="S30" s="25">
        <v>4.7996186031836748E-4</v>
      </c>
      <c r="T30" s="25">
        <v>7.4339476233867501</v>
      </c>
      <c r="U30" s="25">
        <v>4.9466213896526802E-6</v>
      </c>
      <c r="V30" s="25">
        <v>2.5311167715006372E-3</v>
      </c>
      <c r="W30" s="25">
        <v>4.6049058901593849E-3</v>
      </c>
      <c r="X30" s="25">
        <v>2.5311167715006372E-3</v>
      </c>
      <c r="Y30" s="25">
        <v>4.6049058901593849E-3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34.767000000000003</v>
      </c>
      <c r="N31" s="32">
        <f t="shared" si="3"/>
        <v>34.835532878037995</v>
      </c>
      <c r="O31" s="39">
        <f t="shared" si="4"/>
        <v>8.3258921792633842</v>
      </c>
      <c r="Q31" s="25" t="s">
        <v>42</v>
      </c>
      <c r="R31" s="29">
        <v>317819.26171925775</v>
      </c>
      <c r="S31" s="25">
        <v>77207.384302639868</v>
      </c>
      <c r="T31" s="25">
        <v>4.1164360713666985</v>
      </c>
      <c r="U31" s="25">
        <v>1.2151582544000965E-3</v>
      </c>
      <c r="V31" s="25">
        <v>151022.84862435714</v>
      </c>
      <c r="W31" s="25">
        <v>484615.67481415835</v>
      </c>
      <c r="X31" s="25">
        <v>151022.84862435714</v>
      </c>
      <c r="Y31" s="25">
        <v>484615.67481415835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35.070999999999998</v>
      </c>
      <c r="N32" s="32">
        <f t="shared" si="3"/>
        <v>35.263791687709393</v>
      </c>
      <c r="O32" s="39">
        <f t="shared" si="4"/>
        <v>8.428248491326336</v>
      </c>
      <c r="Q32" s="26" t="s">
        <v>43</v>
      </c>
      <c r="R32" s="30">
        <v>-121.95657501001311</v>
      </c>
      <c r="S32" s="26">
        <v>42.170657104022574</v>
      </c>
      <c r="T32" s="26">
        <v>-2.8919771088504076</v>
      </c>
      <c r="U32" s="26">
        <v>1.2600457428991374E-2</v>
      </c>
      <c r="V32" s="26">
        <v>-213.06074083998348</v>
      </c>
      <c r="W32" s="26">
        <v>-30.852409180042741</v>
      </c>
      <c r="X32" s="26">
        <v>-213.06074083998348</v>
      </c>
      <c r="Y32" s="26">
        <v>-30.852409180042741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05D0-E449-4C43-8BC7-AB6E2870A8EC}">
  <dimension ref="A1:Y44"/>
  <sheetViews>
    <sheetView zoomScaleNormal="100" workbookViewId="0">
      <selection activeCell="L9" sqref="L9:O9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2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t="s">
        <v>74</v>
      </c>
    </row>
    <row r="2" spans="1:22" x14ac:dyDescent="0.25">
      <c r="B2" t="s">
        <v>72</v>
      </c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>
        <v>20.006</v>
      </c>
      <c r="D4" s="3">
        <v>173.8</v>
      </c>
      <c r="E4" s="3">
        <v>24789.7</v>
      </c>
      <c r="F4" s="3">
        <v>-273.3</v>
      </c>
      <c r="G4" s="3">
        <v>-275.40642975000003</v>
      </c>
      <c r="H4" s="19" t="s">
        <v>47</v>
      </c>
      <c r="I4" s="19" t="s">
        <v>51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41.539196940726576</v>
      </c>
      <c r="E5" s="4">
        <f>E4</f>
        <v>24789.7</v>
      </c>
      <c r="F5" s="5">
        <f>F4/4.184*1000</f>
        <v>-65320.267686424471</v>
      </c>
      <c r="G5" s="5">
        <f>G4/4.184*1000</f>
        <v>-65823.716479445502</v>
      </c>
      <c r="H5" s="17" t="s">
        <v>48</v>
      </c>
      <c r="J5" s="1" t="s">
        <v>59</v>
      </c>
      <c r="L5" s="20">
        <f>R19</f>
        <v>12.616522144559198</v>
      </c>
      <c r="M5" s="20">
        <f>R20</f>
        <v>8.2220819874483375E-3</v>
      </c>
      <c r="N5" s="20">
        <f>+R21</f>
        <v>-332732.76846275857</v>
      </c>
      <c r="O5" s="20">
        <f>R22</f>
        <v>307.61006509229685</v>
      </c>
      <c r="P5" s="22" t="s">
        <v>47</v>
      </c>
      <c r="Q5" s="15" t="s">
        <v>18</v>
      </c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  <c r="Q6" t="s">
        <v>19</v>
      </c>
      <c r="R6">
        <v>0.99989536551204805</v>
      </c>
    </row>
    <row r="7" spans="1:22" x14ac:dyDescent="0.25">
      <c r="A7" s="23" t="s">
        <v>44</v>
      </c>
      <c r="D7" s="8">
        <f>G5</f>
        <v>-65823.716479445502</v>
      </c>
      <c r="E7" s="8">
        <f>F5</f>
        <v>-65320.267686424471</v>
      </c>
      <c r="F7" s="9">
        <f>D5</f>
        <v>41.539196940726576</v>
      </c>
      <c r="G7" s="9">
        <f>E5</f>
        <v>24789.7</v>
      </c>
      <c r="H7" s="23" t="s">
        <v>48</v>
      </c>
      <c r="J7" s="41" t="s">
        <v>46</v>
      </c>
      <c r="L7" s="12">
        <f>L5/4.184</f>
        <v>3.0154211626575522</v>
      </c>
      <c r="M7" s="12">
        <f>M5/4.184*1000</f>
        <v>1.9651247579943443</v>
      </c>
      <c r="N7" s="12">
        <f>N5/4.184/100000</f>
        <v>-0.79525040263565616</v>
      </c>
      <c r="O7" s="16">
        <f>O5/4.184</f>
        <v>73.520570050740162</v>
      </c>
      <c r="P7" s="23" t="s">
        <v>48</v>
      </c>
      <c r="Q7" t="s">
        <v>20</v>
      </c>
      <c r="R7">
        <v>0.9997907419724722</v>
      </c>
    </row>
    <row r="8" spans="1:22" x14ac:dyDescent="0.25">
      <c r="H8" s="17"/>
      <c r="Q8" t="s">
        <v>21</v>
      </c>
      <c r="R8">
        <v>0.99963379845182643</v>
      </c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19.943839282546996</v>
      </c>
      <c r="M9" s="31">
        <f>R42</f>
        <v>5.5378211624919323E-3</v>
      </c>
      <c r="N9" s="31">
        <f>R43</f>
        <v>-118079.44502051263</v>
      </c>
      <c r="O9" s="31">
        <f>R44</f>
        <v>153.68763717686971</v>
      </c>
      <c r="P9" s="31" t="s">
        <v>47</v>
      </c>
      <c r="Q9" t="s">
        <v>22</v>
      </c>
      <c r="R9">
        <v>4.9366865608717319E-3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 t="s">
        <v>23</v>
      </c>
      <c r="R10" s="13">
        <v>8</v>
      </c>
    </row>
    <row r="11" spans="1:22" x14ac:dyDescent="0.25">
      <c r="A11" s="18">
        <v>1800</v>
      </c>
      <c r="B11">
        <v>298.14999999999998</v>
      </c>
      <c r="C11" s="10">
        <v>6.8449999999999998</v>
      </c>
      <c r="D11" s="10">
        <v>1.3010000000000001E-2</v>
      </c>
      <c r="E11" s="10">
        <v>-410800</v>
      </c>
      <c r="F11" s="10">
        <v>400.7</v>
      </c>
      <c r="G11" s="10">
        <v>-1.911E-6</v>
      </c>
      <c r="H11" s="19" t="s">
        <v>47</v>
      </c>
      <c r="I11" s="19" t="s">
        <v>52</v>
      </c>
      <c r="J11" s="41" t="s">
        <v>70</v>
      </c>
      <c r="L11" s="12">
        <f>L9/4.184</f>
        <v>4.7666919891364712</v>
      </c>
      <c r="M11" s="12">
        <f>M9/4.184*1000</f>
        <v>1.3235710235401368</v>
      </c>
      <c r="N11" s="12">
        <f>N9/4.184/100000</f>
        <v>-0.28221664679854835</v>
      </c>
      <c r="O11" s="16">
        <f>O9/4.184</f>
        <v>36.732226858716473</v>
      </c>
      <c r="P11" s="23" t="s">
        <v>48</v>
      </c>
    </row>
    <row r="12" spans="1:22" ht="15.75" thickBot="1" x14ac:dyDescent="0.3">
      <c r="Q12" t="s">
        <v>24</v>
      </c>
    </row>
    <row r="13" spans="1:22" x14ac:dyDescent="0.25">
      <c r="I13" s="36" t="s">
        <v>63</v>
      </c>
      <c r="J13" s="37"/>
      <c r="K13" s="38"/>
      <c r="L13" s="17" t="s">
        <v>56</v>
      </c>
      <c r="M13" s="17"/>
      <c r="N13" s="17" t="s">
        <v>62</v>
      </c>
      <c r="O13" s="17"/>
      <c r="Q13" s="14"/>
      <c r="R13" s="14" t="s">
        <v>29</v>
      </c>
      <c r="S13" s="14" t="s">
        <v>30</v>
      </c>
      <c r="T13" s="14" t="s">
        <v>31</v>
      </c>
      <c r="U13" s="14" t="s">
        <v>32</v>
      </c>
      <c r="V13" s="14" t="s">
        <v>33</v>
      </c>
    </row>
    <row r="14" spans="1:22" x14ac:dyDescent="0.25">
      <c r="I14" s="35" t="s">
        <v>61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  <c r="Q14" t="s">
        <v>25</v>
      </c>
      <c r="R14">
        <v>3</v>
      </c>
      <c r="S14">
        <v>0.4657555972802439</v>
      </c>
      <c r="T14">
        <v>0.15525186576008129</v>
      </c>
      <c r="U14">
        <v>6370.3855874904939</v>
      </c>
      <c r="V14">
        <v>8.2098501694682851E-8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  <c r="Q15" t="s">
        <v>26</v>
      </c>
      <c r="R15">
        <v>4</v>
      </c>
      <c r="S15">
        <v>9.7483496801166261E-5</v>
      </c>
      <c r="T15">
        <v>2.4370874200291565E-5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I16">
        <v>29.14</v>
      </c>
      <c r="J16" s="11">
        <f t="shared" ref="J16:J32" si="3">C$11+D$11*B16+E$11*B16^-2+F$11*B16^-0.5+G$11*B16^2</f>
        <v>29.138879910680668</v>
      </c>
      <c r="K16" s="11">
        <f t="shared" ref="K16:K32" si="4">J16/4.184</f>
        <v>6.9643594432793181</v>
      </c>
      <c r="L16" s="20">
        <f t="shared" ref="L16:L32" si="5">$L$5+($M$5)*B16+($N$5)*B16^-2+$O$5*B16^-0.5</f>
        <v>29.139772727503189</v>
      </c>
      <c r="M16" s="11">
        <f t="shared" ref="M16:M32" si="6">$L$7+($M$7*0.001)*B16+($N$7*100000)*B16^-2+$O$7*B16^-0.5</f>
        <v>6.9645728316212212</v>
      </c>
      <c r="N16" s="32">
        <f t="shared" ref="N16:N32" si="7">$L$9+($M$9)*B16+($N$9)*B16^-2+$O$9*B16^-0.5</f>
        <v>29.167260622290812</v>
      </c>
      <c r="O16" s="11">
        <f>$L$11+($M$11*0.001)*D16+($N$11*100000)*D16^-2+$O$11*D16^-0.5</f>
        <v>6.9711425961498108</v>
      </c>
      <c r="Q16" s="13" t="s">
        <v>27</v>
      </c>
      <c r="R16" s="13">
        <v>7</v>
      </c>
      <c r="S16" s="13">
        <v>0.46585308077704507</v>
      </c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I17">
        <v>29.15</v>
      </c>
      <c r="J17" s="11">
        <f t="shared" si="3"/>
        <v>29.145990841983853</v>
      </c>
      <c r="K17" s="11">
        <f t="shared" si="4"/>
        <v>6.9660589966500606</v>
      </c>
      <c r="L17" s="20">
        <f t="shared" si="5"/>
        <v>29.145991368743967</v>
      </c>
      <c r="M17" s="11">
        <f t="shared" si="6"/>
        <v>6.9660591225487494</v>
      </c>
      <c r="N17" s="32">
        <f t="shared" si="7"/>
        <v>29.166351667251647</v>
      </c>
      <c r="O17" s="11">
        <f t="shared" ref="O17:O32" si="8">$L$11+($M$11*0.001)*D17+($N$11*100000)*D17^-2+$O$11*D17^-0.5</f>
        <v>6.9709253506815605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I18">
        <v>29.21</v>
      </c>
      <c r="J18" s="11">
        <f t="shared" si="3"/>
        <v>29.210740000000001</v>
      </c>
      <c r="K18" s="11">
        <f t="shared" si="4"/>
        <v>6.9815344168260038</v>
      </c>
      <c r="L18" s="20">
        <f t="shared" si="5"/>
        <v>29.206278391261137</v>
      </c>
      <c r="M18" s="11">
        <f t="shared" si="6"/>
        <v>6.9804680667450132</v>
      </c>
      <c r="N18" s="32">
        <f t="shared" si="7"/>
        <v>29.105353075009052</v>
      </c>
      <c r="O18" s="11">
        <f t="shared" si="8"/>
        <v>6.9563463372392569</v>
      </c>
      <c r="Q18" s="14"/>
      <c r="R18" s="14" t="s">
        <v>34</v>
      </c>
      <c r="S18" s="14" t="s">
        <v>22</v>
      </c>
      <c r="T18" s="14" t="s">
        <v>35</v>
      </c>
      <c r="U18" s="14" t="s">
        <v>36</v>
      </c>
      <c r="V18" s="14" t="s">
        <v>37</v>
      </c>
      <c r="W18" s="14" t="s">
        <v>38</v>
      </c>
      <c r="X18" s="14" t="s">
        <v>39</v>
      </c>
      <c r="Y18" s="14" t="s">
        <v>40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I19">
        <v>29.15</v>
      </c>
      <c r="J19" s="11">
        <f t="shared" si="3"/>
        <v>29.148898771683314</v>
      </c>
      <c r="K19" s="11">
        <f t="shared" si="4"/>
        <v>6.9667540085285165</v>
      </c>
      <c r="L19" s="20">
        <f t="shared" si="5"/>
        <v>29.15337238662255</v>
      </c>
      <c r="M19" s="11">
        <f t="shared" si="6"/>
        <v>6.967823228160265</v>
      </c>
      <c r="N19" s="32">
        <f t="shared" si="7"/>
        <v>29.113552164287</v>
      </c>
      <c r="O19" s="11">
        <f t="shared" si="8"/>
        <v>6.9583059666077922</v>
      </c>
      <c r="Q19" t="s">
        <v>28</v>
      </c>
      <c r="R19" s="20">
        <v>12.616522144559198</v>
      </c>
      <c r="S19">
        <v>0.3558234351744381</v>
      </c>
      <c r="T19">
        <v>35.457254630724655</v>
      </c>
      <c r="U19">
        <v>3.7759948044345035E-6</v>
      </c>
      <c r="V19">
        <v>11.628597909654465</v>
      </c>
      <c r="W19">
        <v>13.604446379463932</v>
      </c>
      <c r="X19">
        <v>11.628597909654465</v>
      </c>
      <c r="Y19">
        <v>13.604446379463932</v>
      </c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I20">
        <v>29.18</v>
      </c>
      <c r="J20" s="11">
        <f t="shared" si="3"/>
        <v>29.180437887775881</v>
      </c>
      <c r="K20" s="11">
        <f t="shared" si="4"/>
        <v>6.9742920381873521</v>
      </c>
      <c r="L20" s="20">
        <f t="shared" si="5"/>
        <v>29.183641967194653</v>
      </c>
      <c r="M20" s="11">
        <f t="shared" si="6"/>
        <v>6.9750578315474794</v>
      </c>
      <c r="N20" s="32">
        <f t="shared" si="7"/>
        <v>29.212805035940594</v>
      </c>
      <c r="O20" s="11">
        <f t="shared" si="8"/>
        <v>6.982027972261136</v>
      </c>
      <c r="Q20" t="s">
        <v>41</v>
      </c>
      <c r="R20" s="20">
        <v>8.2220819874483375E-3</v>
      </c>
      <c r="S20">
        <v>1.4621267090896082E-4</v>
      </c>
      <c r="T20">
        <v>56.233717203400303</v>
      </c>
      <c r="U20">
        <v>5.987548552846482E-7</v>
      </c>
      <c r="V20">
        <v>7.8161305329852576E-3</v>
      </c>
      <c r="W20">
        <v>8.6280334419114174E-3</v>
      </c>
      <c r="X20">
        <v>7.8161305329852576E-3</v>
      </c>
      <c r="Y20">
        <v>8.6280334419114174E-3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I21">
        <v>29.32</v>
      </c>
      <c r="J21" s="11">
        <f t="shared" si="3"/>
        <v>29.322279086540959</v>
      </c>
      <c r="K21" s="11">
        <f t="shared" si="4"/>
        <v>7.0081928983128483</v>
      </c>
      <c r="L21" s="20">
        <f t="shared" si="5"/>
        <v>29.319500684016912</v>
      </c>
      <c r="M21" s="11">
        <f t="shared" si="6"/>
        <v>7.0075288441723025</v>
      </c>
      <c r="N21" s="32">
        <f t="shared" si="7"/>
        <v>29.388182316424697</v>
      </c>
      <c r="O21" s="11">
        <f t="shared" si="8"/>
        <v>7.0239441482850626</v>
      </c>
      <c r="Q21" t="s">
        <v>42</v>
      </c>
      <c r="R21" s="20">
        <v>-332732.76846275857</v>
      </c>
      <c r="S21">
        <v>9240.9547285002755</v>
      </c>
      <c r="T21">
        <v>-36.006319502525919</v>
      </c>
      <c r="U21">
        <v>3.5514555287058036E-6</v>
      </c>
      <c r="V21">
        <v>-358389.77198605757</v>
      </c>
      <c r="W21">
        <v>-307075.76493945956</v>
      </c>
      <c r="X21">
        <v>-358389.77198605757</v>
      </c>
      <c r="Y21">
        <v>-307075.76493945956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I22">
        <v>29.55</v>
      </c>
      <c r="J22" s="11">
        <f t="shared" si="3"/>
        <v>29.55496936107248</v>
      </c>
      <c r="K22" s="11">
        <f t="shared" si="4"/>
        <v>7.0638072086693304</v>
      </c>
      <c r="L22" s="20">
        <f t="shared" si="5"/>
        <v>29.549950933194729</v>
      </c>
      <c r="M22" s="11">
        <f t="shared" si="6"/>
        <v>7.0626077756201546</v>
      </c>
      <c r="N22" s="32">
        <f t="shared" si="7"/>
        <v>29.623275601311107</v>
      </c>
      <c r="O22" s="11">
        <f t="shared" si="8"/>
        <v>7.0801327919003594</v>
      </c>
      <c r="Q22" s="13" t="s">
        <v>43</v>
      </c>
      <c r="R22" s="21">
        <v>307.61006509229685</v>
      </c>
      <c r="S22" s="13">
        <v>7.1602989076762613</v>
      </c>
      <c r="T22" s="13">
        <v>42.960506126709426</v>
      </c>
      <c r="U22" s="13">
        <v>1.755119002686152E-6</v>
      </c>
      <c r="V22" s="13">
        <v>287.729888238326</v>
      </c>
      <c r="W22" s="13">
        <v>327.4902419462677</v>
      </c>
      <c r="X22" s="13">
        <v>287.729888238326</v>
      </c>
      <c r="Y22" s="13">
        <v>327.4902419462677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I23">
        <v>29.86</v>
      </c>
      <c r="J23" s="11">
        <f t="shared" si="3"/>
        <v>29.855596172839505</v>
      </c>
      <c r="K23" s="11">
        <f t="shared" si="4"/>
        <v>7.1356587411184282</v>
      </c>
      <c r="L23" s="20">
        <f t="shared" si="5"/>
        <v>29.859283574039559</v>
      </c>
      <c r="M23" s="11">
        <f t="shared" si="6"/>
        <v>7.1365400511566834</v>
      </c>
      <c r="N23" s="32">
        <f t="shared" si="7"/>
        <v>29.905022475400809</v>
      </c>
      <c r="O23" s="11">
        <f t="shared" si="8"/>
        <v>7.1474719109466562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I24">
        <v>30.2</v>
      </c>
      <c r="J24" s="11">
        <f t="shared" si="3"/>
        <v>30.204446584294693</v>
      </c>
      <c r="K24" s="11">
        <f t="shared" si="4"/>
        <v>7.2190359905102035</v>
      </c>
      <c r="L24" s="20">
        <f t="shared" si="5"/>
        <v>30.233355732387892</v>
      </c>
      <c r="M24" s="11">
        <f t="shared" si="6"/>
        <v>7.225945442731331</v>
      </c>
      <c r="N24" s="32">
        <f t="shared" si="7"/>
        <v>30.223610816903197</v>
      </c>
      <c r="O24" s="11">
        <f t="shared" si="8"/>
        <v>7.2236163520323142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I25">
        <v>30.59</v>
      </c>
      <c r="J25" s="11">
        <f t="shared" si="3"/>
        <v>30.585745444999585</v>
      </c>
      <c r="K25" s="11">
        <f t="shared" si="4"/>
        <v>7.3101686054014303</v>
      </c>
      <c r="L25" s="20">
        <f t="shared" si="5"/>
        <v>30.66061900485542</v>
      </c>
      <c r="M25" s="11">
        <f t="shared" si="6"/>
        <v>7.3280638156920208</v>
      </c>
      <c r="N25" s="32">
        <f t="shared" si="7"/>
        <v>30.571712856107098</v>
      </c>
      <c r="O25" s="11">
        <f t="shared" si="8"/>
        <v>7.3068147361632647</v>
      </c>
      <c r="Q25" s="34" t="s">
        <v>66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I26">
        <v>30.99</v>
      </c>
      <c r="J26" s="11">
        <f t="shared" si="3"/>
        <v>30.987094865436369</v>
      </c>
      <c r="K26" s="11">
        <f t="shared" si="4"/>
        <v>7.4060934190813494</v>
      </c>
      <c r="L26" s="20">
        <f t="shared" si="5"/>
        <v>31.131893801277414</v>
      </c>
      <c r="M26" s="11">
        <f t="shared" si="6"/>
        <v>7.4407011953339897</v>
      </c>
      <c r="N26" s="32">
        <f t="shared" si="7"/>
        <v>30.943804997698901</v>
      </c>
      <c r="O26" s="11">
        <f t="shared" si="8"/>
        <v>7.3957468923754544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I27">
        <v>31.4</v>
      </c>
      <c r="J27" s="11">
        <f t="shared" si="3"/>
        <v>31.39875150829554</v>
      </c>
      <c r="K27" s="11">
        <f t="shared" si="4"/>
        <v>7.5044817180438663</v>
      </c>
      <c r="L27" s="20">
        <f t="shared" si="5"/>
        <v>31.639913606671286</v>
      </c>
      <c r="M27" s="11">
        <f t="shared" si="6"/>
        <v>7.5621208428946671</v>
      </c>
      <c r="N27" s="32">
        <f t="shared" si="7"/>
        <v>31.335665424661602</v>
      </c>
      <c r="O27" s="11">
        <f t="shared" si="8"/>
        <v>7.4894037821848949</v>
      </c>
      <c r="Q27" s="28" t="s">
        <v>18</v>
      </c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I28">
        <v>31.81</v>
      </c>
      <c r="J28" s="11">
        <f t="shared" si="3"/>
        <v>31.813006126696148</v>
      </c>
      <c r="K28" s="11">
        <f t="shared" si="4"/>
        <v>7.6034909480631327</v>
      </c>
      <c r="L28" s="20">
        <f t="shared" si="5"/>
        <v>32.17890011255713</v>
      </c>
      <c r="M28" s="11">
        <f t="shared" si="6"/>
        <v>7.6909417095021828</v>
      </c>
      <c r="N28" s="32">
        <f t="shared" si="7"/>
        <v>31.744019173076946</v>
      </c>
      <c r="O28" s="11">
        <f t="shared" si="8"/>
        <v>7.58700267042948</v>
      </c>
      <c r="Q28" s="25" t="s">
        <v>19</v>
      </c>
      <c r="R28" s="25">
        <v>0.99925771276551156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I29">
        <v>32.22</v>
      </c>
      <c r="J29" s="11">
        <f t="shared" si="3"/>
        <v>32.223701734390964</v>
      </c>
      <c r="K29" s="11">
        <f t="shared" si="4"/>
        <v>7.7016495541087391</v>
      </c>
      <c r="L29" s="20">
        <f t="shared" si="5"/>
        <v>32.744221623492116</v>
      </c>
      <c r="M29" s="11">
        <f t="shared" si="6"/>
        <v>7.8260567933776555</v>
      </c>
      <c r="N29" s="32">
        <f t="shared" si="7"/>
        <v>32.166289001635676</v>
      </c>
      <c r="O29" s="11">
        <f t="shared" si="8"/>
        <v>7.687927581652886</v>
      </c>
      <c r="Q29" s="25" t="s">
        <v>20</v>
      </c>
      <c r="R29" s="25">
        <v>0.9985159765213617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I30">
        <v>32.630000000000003</v>
      </c>
      <c r="J30" s="11">
        <f t="shared" si="3"/>
        <v>32.625871250000003</v>
      </c>
      <c r="K30" s="11">
        <f t="shared" si="4"/>
        <v>7.797770375239006</v>
      </c>
      <c r="L30" s="20">
        <f t="shared" si="5"/>
        <v>33.3321312141032</v>
      </c>
      <c r="M30" s="11">
        <f t="shared" si="6"/>
        <v>7.9665705578640518</v>
      </c>
      <c r="N30" s="32">
        <f t="shared" si="7"/>
        <v>32.600419288744696</v>
      </c>
      <c r="O30" s="11">
        <f t="shared" si="8"/>
        <v>7.7916872105030341</v>
      </c>
      <c r="Q30" s="25" t="s">
        <v>21</v>
      </c>
      <c r="R30" s="25">
        <v>0.99817350956475281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I31">
        <v>33.020000000000003</v>
      </c>
      <c r="J31" s="11">
        <f t="shared" si="3"/>
        <v>33.015467166486133</v>
      </c>
      <c r="K31" s="11">
        <f t="shared" si="4"/>
        <v>7.8908860340550024</v>
      </c>
      <c r="L31" s="20">
        <f t="shared" si="5"/>
        <v>33.939569017849237</v>
      </c>
      <c r="M31" s="11">
        <f t="shared" si="6"/>
        <v>8.1117516773062217</v>
      </c>
      <c r="N31" s="32">
        <f t="shared" si="7"/>
        <v>33.044750033634742</v>
      </c>
      <c r="O31" s="11">
        <f t="shared" si="8"/>
        <v>7.8978848072740782</v>
      </c>
      <c r="Q31" s="25" t="s">
        <v>22</v>
      </c>
      <c r="R31" s="25">
        <v>6.4420440017613628E-2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I32">
        <v>33.39</v>
      </c>
      <c r="J32" s="11">
        <f t="shared" si="3"/>
        <v>33.389159450591528</v>
      </c>
      <c r="K32" s="11">
        <f t="shared" si="4"/>
        <v>7.9802006335065787</v>
      </c>
      <c r="L32" s="20">
        <f t="shared" si="5"/>
        <v>34.564013189324562</v>
      </c>
      <c r="M32" s="11">
        <f t="shared" si="6"/>
        <v>8.2609974161865569</v>
      </c>
      <c r="N32" s="32">
        <f t="shared" si="7"/>
        <v>33.497925449621405</v>
      </c>
      <c r="O32" s="11">
        <f t="shared" si="8"/>
        <v>8.0061963311714628</v>
      </c>
      <c r="Q32" s="26" t="s">
        <v>23</v>
      </c>
      <c r="R32" s="26">
        <v>17</v>
      </c>
    </row>
    <row r="34" spans="17:25" ht="15.75" thickBot="1" x14ac:dyDescent="0.3">
      <c r="Q34" t="s">
        <v>24</v>
      </c>
    </row>
    <row r="35" spans="17:25" x14ac:dyDescent="0.25">
      <c r="Q35" s="27"/>
      <c r="R35" s="27" t="s">
        <v>29</v>
      </c>
      <c r="S35" s="27" t="s">
        <v>30</v>
      </c>
      <c r="T35" s="27" t="s">
        <v>31</v>
      </c>
      <c r="U35" s="27" t="s">
        <v>32</v>
      </c>
      <c r="V35" s="27" t="s">
        <v>33</v>
      </c>
    </row>
    <row r="36" spans="17:25" x14ac:dyDescent="0.25">
      <c r="Q36" s="25" t="s">
        <v>25</v>
      </c>
      <c r="R36" s="25">
        <v>3</v>
      </c>
      <c r="S36" s="25">
        <v>36.299861854509089</v>
      </c>
      <c r="T36" s="25">
        <v>12.09995395150303</v>
      </c>
      <c r="U36" s="25">
        <v>2915.6564078732381</v>
      </c>
      <c r="V36" s="25">
        <v>1.2497937099901087E-18</v>
      </c>
    </row>
    <row r="37" spans="17:25" x14ac:dyDescent="0.25">
      <c r="Q37" s="25" t="s">
        <v>26</v>
      </c>
      <c r="R37" s="25">
        <v>13</v>
      </c>
      <c r="S37" s="25">
        <v>5.3949910196818419E-2</v>
      </c>
      <c r="T37" s="25">
        <v>4.1499930920629556E-3</v>
      </c>
      <c r="U37" s="25"/>
      <c r="V37" s="25"/>
    </row>
    <row r="38" spans="17:25" ht="15.75" thickBot="1" x14ac:dyDescent="0.3">
      <c r="Q38" s="26" t="s">
        <v>27</v>
      </c>
      <c r="R38" s="26">
        <v>16</v>
      </c>
      <c r="S38" s="26">
        <v>36.35381176470591</v>
      </c>
      <c r="T38" s="26"/>
      <c r="U38" s="26"/>
      <c r="V38" s="26"/>
    </row>
    <row r="39" spans="17:25" ht="15.75" thickBot="1" x14ac:dyDescent="0.3"/>
    <row r="40" spans="17:25" x14ac:dyDescent="0.25">
      <c r="Q40" s="27"/>
      <c r="R40" s="27" t="s">
        <v>34</v>
      </c>
      <c r="S40" s="27" t="s">
        <v>22</v>
      </c>
      <c r="T40" s="27" t="s">
        <v>35</v>
      </c>
      <c r="U40" s="27" t="s">
        <v>36</v>
      </c>
      <c r="V40" s="27" t="s">
        <v>37</v>
      </c>
      <c r="W40" s="27" t="s">
        <v>38</v>
      </c>
      <c r="X40" s="27" t="s">
        <v>39</v>
      </c>
      <c r="Y40" s="27" t="s">
        <v>40</v>
      </c>
    </row>
    <row r="41" spans="17:25" x14ac:dyDescent="0.25">
      <c r="Q41" s="25" t="s">
        <v>28</v>
      </c>
      <c r="R41" s="29">
        <v>19.943839282546996</v>
      </c>
      <c r="S41" s="25">
        <v>0.8189768715999467</v>
      </c>
      <c r="T41" s="25">
        <v>24.352139815114523</v>
      </c>
      <c r="U41" s="25">
        <v>3.1270591002594383E-12</v>
      </c>
      <c r="V41" s="25">
        <v>18.174547318774518</v>
      </c>
      <c r="W41" s="25">
        <v>21.713131246319474</v>
      </c>
      <c r="X41" s="25">
        <v>18.174547318774518</v>
      </c>
      <c r="Y41" s="25">
        <v>21.713131246319474</v>
      </c>
    </row>
    <row r="42" spans="17:25" x14ac:dyDescent="0.25">
      <c r="Q42" s="25" t="s">
        <v>41</v>
      </c>
      <c r="R42" s="29">
        <v>5.5378211624919323E-3</v>
      </c>
      <c r="S42" s="25">
        <v>2.2257556360498593E-4</v>
      </c>
      <c r="T42" s="25">
        <v>24.880634121722963</v>
      </c>
      <c r="U42" s="25">
        <v>2.3784660790850026E-12</v>
      </c>
      <c r="V42" s="25">
        <v>5.0569758911851804E-3</v>
      </c>
      <c r="W42" s="25">
        <v>6.0186664337986842E-3</v>
      </c>
      <c r="X42" s="25">
        <v>5.0569758911851804E-3</v>
      </c>
      <c r="Y42" s="25">
        <v>6.0186664337986842E-3</v>
      </c>
    </row>
    <row r="43" spans="17:25" x14ac:dyDescent="0.25">
      <c r="Q43" s="25" t="s">
        <v>42</v>
      </c>
      <c r="R43" s="29">
        <v>-118079.44502051263</v>
      </c>
      <c r="S43" s="25">
        <v>35803.838797166165</v>
      </c>
      <c r="T43" s="25">
        <v>-3.2979548838170532</v>
      </c>
      <c r="U43" s="25">
        <v>5.7703796459698505E-3</v>
      </c>
      <c r="V43" s="25">
        <v>-195428.93613895692</v>
      </c>
      <c r="W43" s="25">
        <v>-40729.953902068359</v>
      </c>
      <c r="X43" s="25">
        <v>-195428.93613895692</v>
      </c>
      <c r="Y43" s="25">
        <v>-40729.953902068359</v>
      </c>
    </row>
    <row r="44" spans="17:25" ht="15.75" thickBot="1" x14ac:dyDescent="0.3">
      <c r="Q44" s="26" t="s">
        <v>43</v>
      </c>
      <c r="R44" s="30">
        <v>153.68763717686971</v>
      </c>
      <c r="S44" s="26">
        <v>19.556049237525702</v>
      </c>
      <c r="T44" s="26">
        <v>7.8588285041725943</v>
      </c>
      <c r="U44" s="26">
        <v>2.7159506590921612E-6</v>
      </c>
      <c r="V44" s="26">
        <v>111.4393613598761</v>
      </c>
      <c r="W44" s="26">
        <v>195.93591299386333</v>
      </c>
      <c r="X44" s="26">
        <v>111.4393613598761</v>
      </c>
      <c r="Y44" s="26">
        <v>195.93591299386333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E1D5-5A72-4A0A-A7BC-098490178D35}">
  <dimension ref="A1:Y32"/>
  <sheetViews>
    <sheetView zoomScaleNormal="100" workbookViewId="0">
      <selection activeCell="L9" sqref="L9:O9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18" x14ac:dyDescent="0.25">
      <c r="A1" s="17"/>
    </row>
    <row r="2" spans="1:18" x14ac:dyDescent="0.25">
      <c r="A2" s="17"/>
    </row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20.006</v>
      </c>
      <c r="D4" s="3"/>
      <c r="E4" s="3"/>
      <c r="F4" s="18"/>
      <c r="G4" s="3"/>
      <c r="H4" s="19" t="s">
        <v>47</v>
      </c>
      <c r="J4" s="17"/>
      <c r="P4" s="2"/>
    </row>
    <row r="5" spans="1:18" x14ac:dyDescent="0.25">
      <c r="D5" s="4">
        <f>D4/4.184</f>
        <v>0</v>
      </c>
      <c r="E5" s="4">
        <f>E4</f>
        <v>0</v>
      </c>
      <c r="F5" s="5">
        <f>F4/4.184*1000</f>
        <v>0</v>
      </c>
      <c r="G5" s="5">
        <f>G4/4.184*1000</f>
        <v>0</v>
      </c>
      <c r="H5" s="17" t="s">
        <v>48</v>
      </c>
      <c r="J5" s="1"/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/>
    </row>
    <row r="7" spans="1:18" ht="15.75" x14ac:dyDescent="0.25">
      <c r="A7" s="23" t="s">
        <v>17</v>
      </c>
      <c r="D7" s="8">
        <v>-65822</v>
      </c>
      <c r="E7" s="8">
        <v>-65320</v>
      </c>
      <c r="F7" s="9">
        <v>41.508000000000003</v>
      </c>
      <c r="G7" s="9"/>
      <c r="H7" s="17" t="s">
        <v>48</v>
      </c>
      <c r="J7" s="1"/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4.7162800860811585</v>
      </c>
      <c r="M9" s="31">
        <f>R30</f>
        <v>1.3354508478620613E-3</v>
      </c>
      <c r="N9" s="31">
        <f>R31</f>
        <v>-30897.835558679515</v>
      </c>
      <c r="O9" s="31">
        <f>R32</f>
        <v>37.991958830468711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</f>
        <v>4.7162800860811585</v>
      </c>
      <c r="M11" s="12">
        <f>M9*1000</f>
        <v>1.3354508478620613</v>
      </c>
      <c r="N11" s="12">
        <f>N9/100000</f>
        <v>-0.30897835558679515</v>
      </c>
      <c r="O11" s="16">
        <f>O9</f>
        <v>37.991958830468711</v>
      </c>
      <c r="P11" s="17" t="s">
        <v>48</v>
      </c>
    </row>
    <row r="13" spans="1:18" x14ac:dyDescent="0.25">
      <c r="J13" s="37"/>
      <c r="K13" s="36" t="s">
        <v>63</v>
      </c>
      <c r="L13" s="17"/>
      <c r="M13" s="17"/>
      <c r="N13" s="17" t="s">
        <v>62</v>
      </c>
      <c r="O13" s="17"/>
      <c r="Q13" s="31" t="s">
        <v>68</v>
      </c>
    </row>
    <row r="14" spans="1:18" ht="15.75" thickBot="1" x14ac:dyDescent="0.3">
      <c r="J14" s="17"/>
      <c r="K14" s="35" t="s">
        <v>71</v>
      </c>
      <c r="L14" s="17"/>
      <c r="M14" s="17"/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16</v>
      </c>
      <c r="L15" s="40" t="s">
        <v>75</v>
      </c>
      <c r="M15" s="38" t="s">
        <v>76</v>
      </c>
      <c r="N15" s="38" t="s">
        <v>16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6.9640000000000004</v>
      </c>
      <c r="L16">
        <f>K16*4.181</f>
        <v>29.116484000000003</v>
      </c>
      <c r="M16" s="11">
        <f>N16*4.184</f>
        <v>29.150443596380235</v>
      </c>
      <c r="N16" s="32">
        <f t="shared" ref="N16:N32" si="3">$L$9+($M$9)*B16+($N$9)*B16^-2+$O$9*B16^-0.5</f>
        <v>6.9671232304924073</v>
      </c>
      <c r="O16" s="39">
        <f>$L$11+($M$11*0.001)*D16+($N$11*100000)*D16^-2+$O$11*D16^-0.5</f>
        <v>6.9671232304924073</v>
      </c>
      <c r="Q16" s="25" t="s">
        <v>19</v>
      </c>
      <c r="R16" s="25">
        <v>0.99924666420786423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6.9640000000000004</v>
      </c>
      <c r="L17">
        <f t="shared" ref="L17:L32" si="4">K17*4.181</f>
        <v>29.116484000000003</v>
      </c>
      <c r="M17" s="11">
        <f t="shared" ref="M17:M32" si="5">N17*4.184</f>
        <v>29.150232688234073</v>
      </c>
      <c r="N17" s="32">
        <f t="shared" si="3"/>
        <v>6.9670728222356768</v>
      </c>
      <c r="O17" s="39">
        <f t="shared" ref="O17:O32" si="6">$L$11+($M$11*0.001)*D17+($N$11*100000)*D17^-2+$O$11*D17^-0.5</f>
        <v>6.9670728222356768</v>
      </c>
      <c r="Q17" s="25" t="s">
        <v>20</v>
      </c>
      <c r="R17" s="25">
        <v>0.99849389593054416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6.9669999999999996</v>
      </c>
      <c r="L18">
        <f t="shared" si="4"/>
        <v>29.129026999999997</v>
      </c>
      <c r="M18" s="11">
        <f t="shared" si="5"/>
        <v>29.107865806620101</v>
      </c>
      <c r="N18" s="32">
        <f t="shared" si="3"/>
        <v>6.9569468945076718</v>
      </c>
      <c r="O18" s="39">
        <f t="shared" si="6"/>
        <v>6.9569468945076718</v>
      </c>
      <c r="Q18" s="25" t="s">
        <v>21</v>
      </c>
      <c r="R18" s="25">
        <v>0.99814633345297743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6.9720000000000004</v>
      </c>
      <c r="L19">
        <f t="shared" si="4"/>
        <v>29.149932000000003</v>
      </c>
      <c r="M19" s="11">
        <f t="shared" si="5"/>
        <v>29.118406658804403</v>
      </c>
      <c r="N19" s="32">
        <f t="shared" si="3"/>
        <v>6.9594662186434997</v>
      </c>
      <c r="O19" s="39">
        <f t="shared" si="6"/>
        <v>6.9594662186434997</v>
      </c>
      <c r="Q19" s="25" t="s">
        <v>22</v>
      </c>
      <c r="R19" s="25">
        <v>1.5512730821529052E-2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6.9859999999999998</v>
      </c>
      <c r="L20">
        <f t="shared" si="4"/>
        <v>29.208465999999998</v>
      </c>
      <c r="M20" s="11">
        <f t="shared" si="5"/>
        <v>29.215777876440747</v>
      </c>
      <c r="N20" s="32">
        <f t="shared" si="3"/>
        <v>6.982738498193295</v>
      </c>
      <c r="O20" s="39">
        <f t="shared" si="6"/>
        <v>6.982738498193295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7.0149999999999997</v>
      </c>
      <c r="L21">
        <f t="shared" si="4"/>
        <v>29.329715</v>
      </c>
      <c r="M21" s="11">
        <f t="shared" si="5"/>
        <v>29.38841575781597</v>
      </c>
      <c r="N21" s="32">
        <f t="shared" si="3"/>
        <v>7.0239999421166273</v>
      </c>
      <c r="O21" s="39">
        <f t="shared" si="6"/>
        <v>7.0239999421166273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7.0629999999999997</v>
      </c>
      <c r="L22">
        <f t="shared" si="4"/>
        <v>29.530403</v>
      </c>
      <c r="M22" s="11">
        <f t="shared" si="5"/>
        <v>29.620968921899685</v>
      </c>
      <c r="N22" s="32">
        <f t="shared" si="3"/>
        <v>7.0795814822895995</v>
      </c>
      <c r="O22" s="39">
        <f t="shared" si="6"/>
        <v>7.0795814822895995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7.1289999999999996</v>
      </c>
      <c r="L23">
        <f t="shared" si="4"/>
        <v>29.806348999999997</v>
      </c>
      <c r="M23" s="11">
        <f t="shared" si="5"/>
        <v>29.900700779518466</v>
      </c>
      <c r="N23" s="32">
        <f t="shared" si="3"/>
        <v>7.1464390008409335</v>
      </c>
      <c r="O23" s="39">
        <f t="shared" si="6"/>
        <v>7.1464390008409335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7.2110000000000003</v>
      </c>
      <c r="L24">
        <f t="shared" si="4"/>
        <v>30.149191000000002</v>
      </c>
      <c r="M24" s="11">
        <f t="shared" si="5"/>
        <v>30.21787025638919</v>
      </c>
      <c r="N24" s="32">
        <f t="shared" si="3"/>
        <v>7.2222443251408199</v>
      </c>
      <c r="O24" s="39">
        <f t="shared" si="6"/>
        <v>7.2222443251408199</v>
      </c>
      <c r="Q24" s="25" t="s">
        <v>25</v>
      </c>
      <c r="R24" s="25">
        <v>3</v>
      </c>
      <c r="S24" s="25">
        <v>2.0740073820778462</v>
      </c>
      <c r="T24" s="25">
        <v>0.69133579402594869</v>
      </c>
      <c r="U24" s="25">
        <v>2872.8472156170051</v>
      </c>
      <c r="V24" s="25">
        <v>1.3757088747830837E-18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7.3029999999999999</v>
      </c>
      <c r="L25">
        <f t="shared" si="4"/>
        <v>30.533843000000001</v>
      </c>
      <c r="M25" s="11">
        <f t="shared" si="5"/>
        <v>30.565129500679468</v>
      </c>
      <c r="N25" s="32">
        <f t="shared" si="3"/>
        <v>7.3052412764530272</v>
      </c>
      <c r="O25" s="39">
        <f t="shared" si="6"/>
        <v>7.3052412764530272</v>
      </c>
      <c r="Q25" s="25" t="s">
        <v>26</v>
      </c>
      <c r="R25" s="25">
        <v>13</v>
      </c>
      <c r="S25" s="25">
        <v>3.1283826280358263E-3</v>
      </c>
      <c r="T25" s="25">
        <v>2.406448175412174E-4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7.4020000000000001</v>
      </c>
      <c r="L26">
        <f t="shared" si="4"/>
        <v>30.947762000000001</v>
      </c>
      <c r="M26" s="11">
        <f t="shared" si="5"/>
        <v>30.936904593361572</v>
      </c>
      <c r="N26" s="32">
        <f t="shared" si="3"/>
        <v>7.3940976561571627</v>
      </c>
      <c r="O26" s="39">
        <f t="shared" si="6"/>
        <v>7.3940976561571627</v>
      </c>
      <c r="Q26" s="26" t="s">
        <v>27</v>
      </c>
      <c r="R26" s="26">
        <v>16</v>
      </c>
      <c r="S26" s="26">
        <v>2.0771357647058819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7.5039999999999996</v>
      </c>
      <c r="L27">
        <f t="shared" si="4"/>
        <v>31.374223999999998</v>
      </c>
      <c r="M27" s="11">
        <f t="shared" si="5"/>
        <v>31.328916691634682</v>
      </c>
      <c r="N27" s="32">
        <f t="shared" si="3"/>
        <v>7.4877907962797989</v>
      </c>
      <c r="O27" s="39">
        <f t="shared" si="6"/>
        <v>7.4877907962797989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7.6059999999999999</v>
      </c>
      <c r="L28">
        <f t="shared" si="4"/>
        <v>31.800685999999999</v>
      </c>
      <c r="M28" s="11">
        <f t="shared" si="5"/>
        <v>31.737836103125179</v>
      </c>
      <c r="N28" s="32">
        <f t="shared" si="3"/>
        <v>7.5855248812440674</v>
      </c>
      <c r="O28" s="39">
        <f t="shared" si="6"/>
        <v>7.5855248812440674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7.7050000000000001</v>
      </c>
      <c r="L29">
        <f t="shared" si="4"/>
        <v>32.214604999999999</v>
      </c>
      <c r="M29" s="11">
        <f t="shared" si="5"/>
        <v>32.161036256560813</v>
      </c>
      <c r="N29" s="32">
        <f t="shared" si="3"/>
        <v>7.6866721454495242</v>
      </c>
      <c r="O29" s="39">
        <f t="shared" si="6"/>
        <v>7.6866721454495242</v>
      </c>
      <c r="Q29" s="25" t="s">
        <v>28</v>
      </c>
      <c r="R29" s="29">
        <v>4.7162800860811585</v>
      </c>
      <c r="S29" s="25">
        <v>0.19721330302485196</v>
      </c>
      <c r="T29" s="25">
        <v>23.914614347729035</v>
      </c>
      <c r="U29" s="25">
        <v>3.9392025936247057E-12</v>
      </c>
      <c r="V29" s="25">
        <v>4.2902266475887698</v>
      </c>
      <c r="W29" s="25">
        <v>5.1423335245735471</v>
      </c>
      <c r="X29" s="25">
        <v>4.2902266475887698</v>
      </c>
      <c r="Y29" s="25">
        <v>5.1423335245735471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7.8</v>
      </c>
      <c r="L30">
        <f t="shared" si="4"/>
        <v>32.611800000000002</v>
      </c>
      <c r="M30" s="11">
        <f t="shared" si="5"/>
        <v>32.596418279767157</v>
      </c>
      <c r="N30" s="32">
        <f t="shared" si="3"/>
        <v>7.7907309464070646</v>
      </c>
      <c r="O30" s="39">
        <f t="shared" si="6"/>
        <v>7.7907309464070646</v>
      </c>
      <c r="Q30" s="25" t="s">
        <v>41</v>
      </c>
      <c r="R30" s="29">
        <v>1.3354508478620613E-3</v>
      </c>
      <c r="S30" s="25">
        <v>5.359719375884772E-5</v>
      </c>
      <c r="T30" s="25">
        <v>24.916432264545712</v>
      </c>
      <c r="U30" s="25">
        <v>2.3352600118475002E-12</v>
      </c>
      <c r="V30" s="25">
        <v>1.2196611503910836E-3</v>
      </c>
      <c r="W30" s="25">
        <v>1.4512405453330391E-3</v>
      </c>
      <c r="X30" s="25">
        <v>1.2196611503910836E-3</v>
      </c>
      <c r="Y30" s="25">
        <v>1.4512405453330391E-3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7.891</v>
      </c>
      <c r="L31">
        <f t="shared" si="4"/>
        <v>32.992271000000002</v>
      </c>
      <c r="M31" s="11">
        <f t="shared" si="5"/>
        <v>33.042284719255441</v>
      </c>
      <c r="N31" s="32">
        <f t="shared" si="3"/>
        <v>7.8972955829960414</v>
      </c>
      <c r="O31" s="39">
        <f t="shared" si="6"/>
        <v>7.8972955829960414</v>
      </c>
      <c r="Q31" s="25" t="s">
        <v>42</v>
      </c>
      <c r="R31" s="29">
        <v>-30897.835558679515</v>
      </c>
      <c r="S31" s="25">
        <v>8621.7249290131713</v>
      </c>
      <c r="T31" s="25">
        <v>-3.5837185497190331</v>
      </c>
      <c r="U31" s="25">
        <v>3.3341041738303586E-3</v>
      </c>
      <c r="V31" s="25">
        <v>-49523.939859963466</v>
      </c>
      <c r="W31" s="25">
        <v>-12271.731257395564</v>
      </c>
      <c r="X31" s="25">
        <v>-49523.939859963466</v>
      </c>
      <c r="Y31" s="25">
        <v>-12271.731257395564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7.9770000000000003</v>
      </c>
      <c r="L32">
        <f t="shared" si="4"/>
        <v>33.351837000000003</v>
      </c>
      <c r="M32" s="11">
        <f t="shared" si="5"/>
        <v>33.497247513512761</v>
      </c>
      <c r="N32" s="32">
        <f t="shared" si="3"/>
        <v>8.0060343005527628</v>
      </c>
      <c r="O32" s="39">
        <f t="shared" si="6"/>
        <v>8.0060343005527628</v>
      </c>
      <c r="Q32" s="26" t="s">
        <v>43</v>
      </c>
      <c r="R32" s="30">
        <v>37.991958830468711</v>
      </c>
      <c r="S32" s="26">
        <v>4.7091843469457659</v>
      </c>
      <c r="T32" s="26">
        <v>8.0676304071869982</v>
      </c>
      <c r="U32" s="26">
        <v>2.0390321192106241E-6</v>
      </c>
      <c r="V32" s="26">
        <v>27.818384569821873</v>
      </c>
      <c r="W32" s="26">
        <v>48.165533091115549</v>
      </c>
      <c r="X32" s="26">
        <v>27.818384569821873</v>
      </c>
      <c r="Y32" s="26">
        <v>48.165533091115549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DD51-3C99-4892-A027-715C916EC177}">
  <dimension ref="A1:Y32"/>
  <sheetViews>
    <sheetView zoomScaleNormal="100" workbookViewId="0">
      <selection activeCell="L9" sqref="L9:O9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18" x14ac:dyDescent="0.25">
      <c r="A1" s="17" t="s">
        <v>77</v>
      </c>
      <c r="L1" s="17"/>
    </row>
    <row r="2" spans="1:18" x14ac:dyDescent="0.25">
      <c r="A2" s="17"/>
      <c r="L2" s="17"/>
    </row>
    <row r="3" spans="1:18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P3" s="2"/>
    </row>
    <row r="4" spans="1:18" ht="15.75" x14ac:dyDescent="0.25">
      <c r="C4" s="3">
        <v>20.006</v>
      </c>
      <c r="D4" s="3">
        <v>173.78</v>
      </c>
      <c r="E4" s="3"/>
      <c r="F4" s="18">
        <v>-272.54599999999999</v>
      </c>
      <c r="G4" s="3">
        <v>-274.64600000000002</v>
      </c>
      <c r="H4" s="19" t="s">
        <v>47</v>
      </c>
      <c r="J4" s="17"/>
      <c r="P4" s="2"/>
    </row>
    <row r="5" spans="1:18" x14ac:dyDescent="0.25">
      <c r="D5" s="4">
        <f>D4/4.184</f>
        <v>41.53441682600382</v>
      </c>
      <c r="E5" s="4">
        <f>E4</f>
        <v>0</v>
      </c>
      <c r="F5" s="5">
        <f>F4/4.184*1000</f>
        <v>-65140.057361376661</v>
      </c>
      <c r="G5" s="5">
        <f>G4/4.184*1000</f>
        <v>-65641.969407265773</v>
      </c>
      <c r="H5" s="17" t="s">
        <v>48</v>
      </c>
    </row>
    <row r="6" spans="1:18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</row>
    <row r="7" spans="1:18" ht="15.75" x14ac:dyDescent="0.25">
      <c r="A7" s="23" t="s">
        <v>17</v>
      </c>
      <c r="D7" s="8">
        <f>G5</f>
        <v>-65641.969407265773</v>
      </c>
      <c r="E7" s="8">
        <f>F5</f>
        <v>-65140.057361376661</v>
      </c>
      <c r="F7" s="9">
        <f>D5</f>
        <v>41.53441682600382</v>
      </c>
      <c r="G7" s="9">
        <f>E5</f>
        <v>0</v>
      </c>
      <c r="H7" s="17" t="s">
        <v>48</v>
      </c>
      <c r="L7" s="2" t="s">
        <v>7</v>
      </c>
      <c r="M7" s="2" t="s">
        <v>8</v>
      </c>
      <c r="N7" s="2" t="s">
        <v>9</v>
      </c>
      <c r="O7" s="2" t="s">
        <v>10</v>
      </c>
    </row>
    <row r="8" spans="1:18" ht="15.75" x14ac:dyDescent="0.25">
      <c r="H8" s="17"/>
      <c r="L8" s="2">
        <v>1</v>
      </c>
      <c r="M8" s="2" t="s">
        <v>0</v>
      </c>
      <c r="N8" s="2" t="s">
        <v>12</v>
      </c>
      <c r="O8" s="2" t="s">
        <v>13</v>
      </c>
    </row>
    <row r="9" spans="1:18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R29</f>
        <v>19.709307370619392</v>
      </c>
      <c r="M9" s="31">
        <f>R30</f>
        <v>5.5940362684951846E-3</v>
      </c>
      <c r="N9" s="31">
        <f>R31</f>
        <v>-130131.74151815704</v>
      </c>
      <c r="O9" s="31">
        <f>R32</f>
        <v>159.50764093541585</v>
      </c>
      <c r="P9" s="17" t="s">
        <v>47</v>
      </c>
    </row>
    <row r="10" spans="1:18" ht="15.75" x14ac:dyDescent="0.25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</row>
    <row r="11" spans="1:18" ht="15.75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33" t="s">
        <v>47</v>
      </c>
      <c r="J11" s="41" t="s">
        <v>70</v>
      </c>
      <c r="L11" s="12">
        <f>L9/4.184</f>
        <v>4.7106375168784398</v>
      </c>
      <c r="M11" s="12">
        <f>M9/4.184*1000</f>
        <v>1.3370067563325012</v>
      </c>
      <c r="N11" s="12">
        <f>N9/4.184/100000</f>
        <v>-0.31102232676423763</v>
      </c>
      <c r="O11" s="16">
        <f>O9/4.184</f>
        <v>38.123241141351777</v>
      </c>
      <c r="P11" s="17" t="s">
        <v>48</v>
      </c>
    </row>
    <row r="13" spans="1:18" x14ac:dyDescent="0.25">
      <c r="J13" s="37"/>
      <c r="K13" s="38"/>
      <c r="N13" s="17" t="s">
        <v>62</v>
      </c>
      <c r="O13" s="17"/>
      <c r="Q13" t="s">
        <v>68</v>
      </c>
    </row>
    <row r="14" spans="1:18" ht="15.75" thickBot="1" x14ac:dyDescent="0.3">
      <c r="J14" s="17"/>
      <c r="K14" s="36" t="s">
        <v>63</v>
      </c>
      <c r="N14" s="17" t="s">
        <v>55</v>
      </c>
      <c r="O14" s="17" t="s">
        <v>55</v>
      </c>
    </row>
    <row r="15" spans="1:18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J15" s="37"/>
      <c r="K15" s="36" t="s">
        <v>15</v>
      </c>
      <c r="N15" s="38" t="s">
        <v>15</v>
      </c>
      <c r="O15" s="38" t="s">
        <v>16</v>
      </c>
      <c r="Q15" s="28" t="s">
        <v>18</v>
      </c>
      <c r="R15" s="28"/>
    </row>
    <row r="16" spans="1:18" x14ac:dyDescent="0.25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/>
      <c r="K16" s="11">
        <v>29.138000000000002</v>
      </c>
      <c r="N16" s="32">
        <f t="shared" ref="N16:N32" si="3">$L$9+($M$9)*B16+($N$9)*B16^-2+$O$9*B16^-0.5</f>
        <v>29.150966769606644</v>
      </c>
      <c r="O16" s="39">
        <f>$L$11+($M$11*0.001)*D16+($N$11*100000)*D16^-2+$O$11*D16^-0.5</f>
        <v>6.9672482718945119</v>
      </c>
      <c r="Q16" s="25" t="s">
        <v>19</v>
      </c>
      <c r="R16" s="25">
        <v>0.99924124942021475</v>
      </c>
    </row>
    <row r="17" spans="2:25" x14ac:dyDescent="0.25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/>
      <c r="K17" s="11">
        <v>29.138000000000002</v>
      </c>
      <c r="N17" s="32">
        <f t="shared" si="3"/>
        <v>29.150787955263763</v>
      </c>
      <c r="O17" s="39">
        <f t="shared" ref="O17:O32" si="4">$L$11+($M$11*0.001)*D17+($N$11*100000)*D17^-2+$O$11*D17^-0.5</f>
        <v>6.9672055342408612</v>
      </c>
      <c r="Q17" s="25" t="s">
        <v>20</v>
      </c>
      <c r="R17" s="25">
        <v>0.99848307454287188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/>
      <c r="K18" s="11">
        <v>29.15</v>
      </c>
      <c r="N18" s="32">
        <f t="shared" si="3"/>
        <v>29.108980540299779</v>
      </c>
      <c r="O18" s="39">
        <f t="shared" si="4"/>
        <v>6.9572133222513806</v>
      </c>
      <c r="Q18" s="25" t="s">
        <v>21</v>
      </c>
      <c r="R18" s="25">
        <v>0.99813301482199612</v>
      </c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/>
      <c r="K19" s="11">
        <v>29.172999999999998</v>
      </c>
      <c r="N19" s="32">
        <f t="shared" si="3"/>
        <v>29.119197100038718</v>
      </c>
      <c r="O19" s="39">
        <f t="shared" si="4"/>
        <v>6.9596551386325798</v>
      </c>
      <c r="Q19" s="25" t="s">
        <v>22</v>
      </c>
      <c r="R19" s="25">
        <v>6.5136715567118059E-2</v>
      </c>
    </row>
    <row r="20" spans="2:25" ht="15.75" thickBot="1" x14ac:dyDescent="0.3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/>
      <c r="K20" s="11">
        <v>29.23</v>
      </c>
      <c r="N20" s="32">
        <f t="shared" si="3"/>
        <v>29.216124244724568</v>
      </c>
      <c r="O20" s="39">
        <f t="shared" si="4"/>
        <v>6.9828212821999447</v>
      </c>
      <c r="Q20" s="26" t="s">
        <v>23</v>
      </c>
      <c r="R20" s="26">
        <v>17</v>
      </c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/>
      <c r="K21" s="11">
        <v>29.350999999999999</v>
      </c>
      <c r="N21" s="32">
        <f t="shared" si="3"/>
        <v>29.388379920585855</v>
      </c>
      <c r="O21" s="39">
        <f t="shared" si="4"/>
        <v>7.0239913768130622</v>
      </c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/>
      <c r="K22" s="11">
        <v>29.55</v>
      </c>
      <c r="N22" s="32">
        <f t="shared" si="3"/>
        <v>29.620652267118494</v>
      </c>
      <c r="O22" s="39">
        <f t="shared" si="4"/>
        <v>7.0795057999805193</v>
      </c>
      <c r="Q22" t="s">
        <v>24</v>
      </c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/>
      <c r="K23" s="11">
        <v>29.827000000000002</v>
      </c>
      <c r="N23" s="32">
        <f t="shared" si="3"/>
        <v>29.900204905768845</v>
      </c>
      <c r="O23" s="39">
        <f t="shared" si="4"/>
        <v>7.1463204841703751</v>
      </c>
      <c r="Q23" s="27"/>
      <c r="R23" s="27" t="s">
        <v>29</v>
      </c>
      <c r="S23" s="27" t="s">
        <v>30</v>
      </c>
      <c r="T23" s="27" t="s">
        <v>31</v>
      </c>
      <c r="U23" s="27" t="s">
        <v>32</v>
      </c>
      <c r="V23" s="27" t="s">
        <v>33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/>
      <c r="K24" s="11">
        <v>30.169</v>
      </c>
      <c r="N24" s="32">
        <f t="shared" si="3"/>
        <v>30.21728639315867</v>
      </c>
      <c r="O24" s="39">
        <f t="shared" si="4"/>
        <v>7.2221047784796051</v>
      </c>
      <c r="Q24" s="25" t="s">
        <v>25</v>
      </c>
      <c r="R24" s="25">
        <v>3</v>
      </c>
      <c r="S24" s="25">
        <v>36.30542559005962</v>
      </c>
      <c r="T24" s="25">
        <v>12.101808530019873</v>
      </c>
      <c r="U24" s="25">
        <v>2852.322089628196</v>
      </c>
      <c r="V24" s="25">
        <v>1.4412345850169179E-18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/>
      <c r="K25" s="11">
        <v>30.556000000000001</v>
      </c>
      <c r="N25" s="32">
        <f t="shared" si="3"/>
        <v>30.564536701033873</v>
      </c>
      <c r="O25" s="39">
        <f t="shared" si="4"/>
        <v>7.3050995939373502</v>
      </c>
      <c r="Q25" s="25" t="s">
        <v>26</v>
      </c>
      <c r="R25" s="25">
        <v>13</v>
      </c>
      <c r="S25" s="25">
        <v>5.5156292293331327E-2</v>
      </c>
      <c r="T25" s="25">
        <v>4.2427917148716403E-3</v>
      </c>
      <c r="U25" s="25"/>
      <c r="V25" s="25"/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/>
      <c r="K26" s="11">
        <v>30.971</v>
      </c>
      <c r="N26" s="32">
        <f t="shared" si="3"/>
        <v>30.936370599463672</v>
      </c>
      <c r="O26" s="39">
        <f t="shared" si="4"/>
        <v>7.393970028552503</v>
      </c>
      <c r="Q26" s="26" t="s">
        <v>27</v>
      </c>
      <c r="R26" s="26">
        <v>16</v>
      </c>
      <c r="S26" s="26">
        <v>36.360581882352953</v>
      </c>
      <c r="T26" s="26"/>
      <c r="U26" s="26"/>
      <c r="V26" s="26"/>
    </row>
    <row r="27" spans="2:25" ht="15.75" thickBot="1" x14ac:dyDescent="0.3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/>
      <c r="K27" s="11">
        <v>31.396999999999998</v>
      </c>
      <c r="N27" s="32">
        <f t="shared" si="3"/>
        <v>31.328499475493942</v>
      </c>
      <c r="O27" s="39">
        <f t="shared" si="4"/>
        <v>7.4876910792289539</v>
      </c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/>
      <c r="K28" s="11">
        <v>31.821999999999999</v>
      </c>
      <c r="N28" s="32">
        <f t="shared" si="3"/>
        <v>31.737585421932152</v>
      </c>
      <c r="O28" s="39">
        <f t="shared" si="4"/>
        <v>7.5854649670009922</v>
      </c>
      <c r="Q28" s="27"/>
      <c r="R28" s="27" t="s">
        <v>34</v>
      </c>
      <c r="S28" s="27" t="s">
        <v>22</v>
      </c>
      <c r="T28" s="27" t="s">
        <v>35</v>
      </c>
      <c r="U28" s="27" t="s">
        <v>36</v>
      </c>
      <c r="V28" s="27" t="s">
        <v>37</v>
      </c>
      <c r="W28" s="27" t="s">
        <v>38</v>
      </c>
      <c r="X28" s="27" t="s">
        <v>39</v>
      </c>
      <c r="Y28" s="27" t="s">
        <v>40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/>
      <c r="K29" s="11">
        <v>32.237000000000002</v>
      </c>
      <c r="N29" s="32">
        <f t="shared" si="3"/>
        <v>32.160995023369864</v>
      </c>
      <c r="O29" s="39">
        <f t="shared" si="4"/>
        <v>7.6866622904803688</v>
      </c>
      <c r="Q29" s="25" t="s">
        <v>28</v>
      </c>
      <c r="R29" s="29">
        <v>19.709307370619392</v>
      </c>
      <c r="S29" s="25">
        <v>0.82808288063335733</v>
      </c>
      <c r="T29" s="25">
        <v>23.801128886452492</v>
      </c>
      <c r="U29" s="25">
        <v>4.1850847494208969E-12</v>
      </c>
      <c r="V29" s="25">
        <v>17.920343070345666</v>
      </c>
      <c r="W29" s="25">
        <v>21.498271670893118</v>
      </c>
      <c r="X29" s="25">
        <v>17.920343070345666</v>
      </c>
      <c r="Y29" s="25">
        <v>21.498271670893118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/>
      <c r="K30" s="11">
        <v>32.636000000000003</v>
      </c>
      <c r="N30" s="32">
        <f t="shared" si="3"/>
        <v>32.59662371206656</v>
      </c>
      <c r="O30" s="39">
        <f t="shared" si="4"/>
        <v>7.7907800459050076</v>
      </c>
      <c r="Q30" s="25" t="s">
        <v>41</v>
      </c>
      <c r="R30" s="29">
        <v>5.5940362684951846E-3</v>
      </c>
      <c r="S30" s="25">
        <v>2.25050328354867E-4</v>
      </c>
      <c r="T30" s="25">
        <v>24.856823402071729</v>
      </c>
      <c r="U30" s="25">
        <v>2.4076796943387269E-12</v>
      </c>
      <c r="V30" s="25">
        <v>5.1078445929906699E-3</v>
      </c>
      <c r="W30" s="25">
        <v>6.0802279439996993E-3</v>
      </c>
      <c r="X30" s="25">
        <v>5.1078445929906699E-3</v>
      </c>
      <c r="Y30" s="25">
        <v>6.0802279439996993E-3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/>
      <c r="K31" s="11">
        <v>33.017000000000003</v>
      </c>
      <c r="N31" s="32">
        <f t="shared" si="3"/>
        <v>33.042769282033078</v>
      </c>
      <c r="O31" s="39">
        <f t="shared" si="4"/>
        <v>7.8974113962794155</v>
      </c>
      <c r="Q31" s="25" t="s">
        <v>42</v>
      </c>
      <c r="R31" s="29">
        <v>-130131.74151815704</v>
      </c>
      <c r="S31" s="25">
        <v>36201.93316444767</v>
      </c>
      <c r="T31" s="25">
        <v>-3.5946075290242709</v>
      </c>
      <c r="U31" s="25">
        <v>3.2653657472201162E-3</v>
      </c>
      <c r="V31" s="25">
        <v>-208341.26322999067</v>
      </c>
      <c r="W31" s="25">
        <v>-51922.21980632341</v>
      </c>
      <c r="X31" s="25">
        <v>-208341.26322999067</v>
      </c>
      <c r="Y31" s="25">
        <v>-51922.21980632341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/>
      <c r="K32" s="11">
        <v>33.375999999999998</v>
      </c>
      <c r="N32" s="32">
        <f t="shared" si="3"/>
        <v>33.498039688041587</v>
      </c>
      <c r="O32" s="39">
        <f t="shared" si="4"/>
        <v>8.0062236348091744</v>
      </c>
      <c r="Q32" s="26" t="s">
        <v>43</v>
      </c>
      <c r="R32" s="30">
        <v>159.50764093541585</v>
      </c>
      <c r="S32" s="26">
        <v>19.773488297394195</v>
      </c>
      <c r="T32" s="26">
        <v>8.0667426271183622</v>
      </c>
      <c r="U32" s="26">
        <v>2.0414967178986203E-6</v>
      </c>
      <c r="V32" s="26">
        <v>116.7896165887916</v>
      </c>
      <c r="W32" s="26">
        <v>202.2256652820401</v>
      </c>
      <c r="X32" s="26">
        <v>116.7896165887916</v>
      </c>
      <c r="Y32" s="26">
        <v>202.2256652820401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4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64</v>
      </c>
    </row>
    <row r="2" spans="1:22" x14ac:dyDescent="0.25">
      <c r="A2" s="1"/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/>
      <c r="D4" s="3"/>
      <c r="E4" s="3"/>
      <c r="F4" s="3"/>
      <c r="G4" s="3"/>
      <c r="H4" s="19" t="s">
        <v>47</v>
      </c>
      <c r="I4" s="19" t="s">
        <v>65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0</v>
      </c>
      <c r="E5" s="4">
        <f>E4</f>
        <v>0</v>
      </c>
      <c r="F5" s="5">
        <f>F4/4.184*1000</f>
        <v>0</v>
      </c>
      <c r="G5" s="5">
        <f>G4/4.184*1000</f>
        <v>0</v>
      </c>
      <c r="H5" s="17" t="s">
        <v>48</v>
      </c>
      <c r="J5" s="1" t="s">
        <v>59</v>
      </c>
      <c r="L5" s="20">
        <f>R19</f>
        <v>0</v>
      </c>
      <c r="M5" s="20">
        <f>R20</f>
        <v>0</v>
      </c>
      <c r="N5" s="20">
        <f>+R21</f>
        <v>0</v>
      </c>
      <c r="O5" s="20">
        <f>R22</f>
        <v>0</v>
      </c>
      <c r="P5" s="22" t="s">
        <v>47</v>
      </c>
      <c r="Q5" s="15"/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</row>
    <row r="7" spans="1:22" x14ac:dyDescent="0.25">
      <c r="A7" s="23" t="s">
        <v>67</v>
      </c>
      <c r="D7" s="8">
        <f>G5</f>
        <v>0</v>
      </c>
      <c r="E7" s="8">
        <f>F5</f>
        <v>0</v>
      </c>
      <c r="F7" s="9">
        <f>D5</f>
        <v>0</v>
      </c>
      <c r="G7" s="9">
        <f>E5</f>
        <v>0</v>
      </c>
      <c r="H7" s="23" t="s">
        <v>48</v>
      </c>
      <c r="J7" s="41" t="s">
        <v>46</v>
      </c>
      <c r="L7" s="12">
        <f>L5/4.184</f>
        <v>0</v>
      </c>
      <c r="M7" s="12">
        <f>M5/4.184*1000</f>
        <v>0</v>
      </c>
      <c r="N7" s="12">
        <f>N5/4.184/100000</f>
        <v>0</v>
      </c>
      <c r="O7" s="16">
        <f>O5/4.184</f>
        <v>0</v>
      </c>
      <c r="P7" s="23" t="s">
        <v>48</v>
      </c>
    </row>
    <row r="8" spans="1:22" x14ac:dyDescent="0.25">
      <c r="H8" s="17"/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0</v>
      </c>
      <c r="M9" s="31">
        <f>R42</f>
        <v>0</v>
      </c>
      <c r="N9" s="31">
        <f>R43</f>
        <v>0</v>
      </c>
      <c r="O9" s="31">
        <f>R44</f>
        <v>0</v>
      </c>
      <c r="P9" s="31" t="s">
        <v>47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/>
      <c r="R10" s="13"/>
    </row>
    <row r="11" spans="1:22" x14ac:dyDescent="0.25">
      <c r="A11" s="18">
        <v>1800</v>
      </c>
      <c r="B11">
        <v>298.14999999999998</v>
      </c>
      <c r="C11" s="10"/>
      <c r="D11" s="10"/>
      <c r="E11" s="10"/>
      <c r="F11" s="10"/>
      <c r="G11" s="10"/>
      <c r="H11" s="19" t="s">
        <v>47</v>
      </c>
      <c r="I11" s="19" t="s">
        <v>65</v>
      </c>
      <c r="J11" s="41" t="s">
        <v>70</v>
      </c>
      <c r="L11" s="12">
        <f>L9/4.184</f>
        <v>0</v>
      </c>
      <c r="M11" s="12">
        <f>M9/4.184*1000</f>
        <v>0</v>
      </c>
      <c r="N11" s="12">
        <f>N9/4.184/100000</f>
        <v>0</v>
      </c>
      <c r="O11" s="16">
        <f>O9/4.184</f>
        <v>0</v>
      </c>
      <c r="P11" s="23" t="s">
        <v>48</v>
      </c>
    </row>
    <row r="12" spans="1:22" ht="15.75" thickBot="1" x14ac:dyDescent="0.3"/>
    <row r="13" spans="1:22" x14ac:dyDescent="0.25">
      <c r="I13" s="36" t="s">
        <v>63</v>
      </c>
      <c r="J13" s="37"/>
      <c r="K13" s="38"/>
      <c r="L13" s="17" t="s">
        <v>56</v>
      </c>
      <c r="M13" s="17"/>
      <c r="N13" s="17" t="s">
        <v>62</v>
      </c>
      <c r="O13" s="17"/>
      <c r="Q13" s="14"/>
      <c r="R13" s="14"/>
      <c r="S13" s="14"/>
      <c r="T13" s="14"/>
      <c r="U13" s="14"/>
      <c r="V13" s="14"/>
    </row>
    <row r="14" spans="1:22" x14ac:dyDescent="0.25">
      <c r="I14" s="35" t="s">
        <v>65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J16" s="11">
        <f t="shared" ref="J16:J32" si="3">C$11+D$11*B16+E$11*B16^-2+F$11*B16^-0.5+G$11*B16^2</f>
        <v>0</v>
      </c>
      <c r="K16" s="11">
        <f t="shared" ref="K16:K32" si="4">J16/4.184</f>
        <v>0</v>
      </c>
      <c r="L16" s="20">
        <f t="shared" ref="L16" si="5">$L$5+($M$5)*B16+($N$5)*B16^-2+$O$5*B16^-0.5</f>
        <v>0</v>
      </c>
      <c r="M16" s="11">
        <f t="shared" ref="M16" si="6">$L$7+($M$7*0.001)*B16+($N$7*100000)*B16^-2+$O$7*B16^-0.5</f>
        <v>0</v>
      </c>
      <c r="N16" s="32">
        <f t="shared" ref="N16:N32" si="7">$L$9+($M$9)*B16+($N$9)*B16^-2+$O$9*B16^-0.5</f>
        <v>0</v>
      </c>
      <c r="O16" s="11">
        <f>$L$11+($M$11*0.001)*D16+($N$11*100000)*D16^-2+$O$11*D16^-0.5</f>
        <v>0</v>
      </c>
      <c r="Q16" s="13"/>
      <c r="R16" s="13"/>
      <c r="S16" s="13"/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ref="O17:O32" si="8">$L$11+($M$11*0.001)*D17+($N$11*100000)*D17^-2+$O$11*D17^-0.5</f>
        <v>0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R21" s="20"/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  <c r="Q22" s="13"/>
      <c r="R22" s="21"/>
      <c r="S22" s="13"/>
      <c r="T22" s="13"/>
      <c r="U22" s="13"/>
      <c r="V22" s="13"/>
      <c r="W22" s="13"/>
      <c r="X22" s="13"/>
      <c r="Y22" s="13"/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  <c r="Q25" s="34" t="s">
        <v>66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8"/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5"/>
      <c r="R31" s="25"/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J32" s="11">
        <f t="shared" si="3"/>
        <v>0</v>
      </c>
      <c r="K32" s="11">
        <f t="shared" si="4"/>
        <v>0</v>
      </c>
      <c r="L32" s="20"/>
      <c r="M32" s="11"/>
      <c r="N32" s="32">
        <f t="shared" si="7"/>
        <v>0</v>
      </c>
      <c r="O32" s="11">
        <f t="shared" si="8"/>
        <v>0</v>
      </c>
      <c r="Q32" s="26"/>
      <c r="R32" s="26"/>
    </row>
    <row r="34" spans="17:25" ht="15.75" thickBot="1" x14ac:dyDescent="0.3"/>
    <row r="35" spans="17:25" x14ac:dyDescent="0.25">
      <c r="Q35" s="27"/>
      <c r="R35" s="27"/>
      <c r="S35" s="27"/>
      <c r="T35" s="27"/>
      <c r="U35" s="27"/>
      <c r="V35" s="27"/>
    </row>
    <row r="36" spans="17:25" x14ac:dyDescent="0.25">
      <c r="Q36" s="25"/>
      <c r="R36" s="25"/>
      <c r="S36" s="25"/>
      <c r="T36" s="25"/>
      <c r="U36" s="25"/>
      <c r="V36" s="25"/>
    </row>
    <row r="37" spans="17:25" x14ac:dyDescent="0.25">
      <c r="Q37" s="25"/>
      <c r="R37" s="25"/>
      <c r="S37" s="25"/>
      <c r="T37" s="25"/>
      <c r="U37" s="25"/>
      <c r="V37" s="25"/>
    </row>
    <row r="38" spans="17:25" ht="15.75" thickBot="1" x14ac:dyDescent="0.3">
      <c r="Q38" s="26"/>
      <c r="R38" s="26"/>
      <c r="S38" s="26"/>
      <c r="T38" s="26"/>
      <c r="U38" s="26"/>
      <c r="V38" s="26"/>
    </row>
    <row r="39" spans="17:25" ht="15.75" thickBot="1" x14ac:dyDescent="0.3"/>
    <row r="40" spans="17:25" x14ac:dyDescent="0.25">
      <c r="Q40" s="27"/>
      <c r="R40" s="27"/>
      <c r="S40" s="27"/>
      <c r="T40" s="27"/>
      <c r="U40" s="27"/>
      <c r="V40" s="27"/>
      <c r="W40" s="27"/>
      <c r="X40" s="27"/>
      <c r="Y40" s="27"/>
    </row>
    <row r="41" spans="17:25" x14ac:dyDescent="0.25">
      <c r="Q41" s="25"/>
      <c r="R41" s="29"/>
      <c r="S41" s="25"/>
      <c r="T41" s="25"/>
      <c r="U41" s="25"/>
      <c r="V41" s="25"/>
      <c r="W41" s="25"/>
      <c r="X41" s="25"/>
      <c r="Y41" s="25"/>
    </row>
    <row r="42" spans="17:25" x14ac:dyDescent="0.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x14ac:dyDescent="0.25">
      <c r="Q43" s="25"/>
      <c r="R43" s="29"/>
      <c r="S43" s="25"/>
      <c r="T43" s="25"/>
      <c r="U43" s="25"/>
      <c r="V43" s="25"/>
      <c r="W43" s="25"/>
      <c r="X43" s="25"/>
      <c r="Y43" s="25"/>
    </row>
    <row r="44" spans="17:25" ht="15.75" thickBot="1" x14ac:dyDescent="0.3">
      <c r="Q44" s="26"/>
      <c r="R44" s="30"/>
      <c r="S44" s="26"/>
      <c r="T44" s="26"/>
      <c r="U44" s="26"/>
      <c r="V44" s="26"/>
      <c r="W44" s="26"/>
      <c r="X44" s="26"/>
      <c r="Y44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HCl-RH95</vt:lpstr>
      <vt:lpstr>HCl-BoM#674</vt:lpstr>
      <vt:lpstr>HCl-JANAF-4th</vt:lpstr>
      <vt:lpstr>HF-RH95</vt:lpstr>
      <vt:lpstr>HF-BoM#674</vt:lpstr>
      <vt:lpstr>HF-JANAF-4th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2023-03-16T20:01:23Z</dcterms:modified>
</cp:coreProperties>
</file>