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00_gastherm\!data\"/>
    </mc:Choice>
  </mc:AlternateContent>
  <xr:revisionPtr revIDLastSave="0" documentId="13_ncr:1_{91EC650C-53FF-47BE-8D92-79C44F5F1E89}" xr6:coauthVersionLast="47" xr6:coauthVersionMax="47" xr10:uidLastSave="{00000000-0000-0000-0000-000000000000}"/>
  <bookViews>
    <workbookView xWindow="1080" yWindow="0" windowWidth="27720" windowHeight="16200" tabRatio="707" activeTab="9" xr2:uid="{00000000-000D-0000-FFFF-FFFF00000000}"/>
  </bookViews>
  <sheets>
    <sheet name="LogK graphs" sheetId="57" r:id="rId1"/>
    <sheet name="S(ortho)H&amp;P" sheetId="59" r:id="rId2"/>
    <sheet name="Pankratz data" sheetId="61" r:id="rId3"/>
    <sheet name="solid Cp Pankratz" sheetId="62" r:id="rId4"/>
    <sheet name="liq Cp Pankratz" sheetId="60" r:id="rId5"/>
    <sheet name="JANAF data" sheetId="63" r:id="rId6"/>
    <sheet name="liq Cp JANAF" sheetId="64" r:id="rId7"/>
    <sheet name="JANAF G, H" sheetId="65" r:id="rId8"/>
    <sheet name="template" sheetId="9" r:id="rId9"/>
    <sheet name="References" sheetId="5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5" l="1"/>
  <c r="O19" i="65" s="1"/>
  <c r="H18" i="65"/>
  <c r="O18" i="65" s="1"/>
  <c r="H17" i="65"/>
  <c r="O17" i="65" s="1"/>
  <c r="N22" i="65"/>
  <c r="O23" i="65" s="1"/>
  <c r="J22" i="65"/>
  <c r="K23" i="65" s="1"/>
  <c r="B8" i="65"/>
  <c r="C9" i="65" s="1"/>
  <c r="C10" i="65" s="1"/>
  <c r="C11" i="65" s="1"/>
  <c r="C12" i="65" s="1"/>
  <c r="N8" i="65"/>
  <c r="O9" i="65" s="1"/>
  <c r="O10" i="65" s="1"/>
  <c r="O11" i="65" s="1"/>
  <c r="O12" i="65" s="1"/>
  <c r="J8" i="65"/>
  <c r="K9" i="65" s="1"/>
  <c r="K10" i="65" s="1"/>
  <c r="K11" i="65" s="1"/>
  <c r="K12" i="65" s="1"/>
  <c r="K17" i="65" l="1"/>
  <c r="K18" i="65"/>
  <c r="K19" i="65"/>
  <c r="K24" i="65" s="1"/>
  <c r="K25" i="65" s="1"/>
  <c r="K26" i="65" s="1"/>
  <c r="O24" i="65"/>
  <c r="O25" i="65" s="1"/>
  <c r="O26" i="65" s="1"/>
  <c r="L27" i="62"/>
  <c r="K27" i="62"/>
  <c r="E27" i="62"/>
  <c r="D27" i="62"/>
  <c r="C27" i="62"/>
  <c r="E26" i="62"/>
  <c r="S15" i="60"/>
  <c r="S21" i="60"/>
  <c r="S20" i="60"/>
  <c r="S19" i="60"/>
  <c r="S18" i="60"/>
  <c r="S17" i="60"/>
  <c r="S16" i="60"/>
  <c r="V9" i="60"/>
  <c r="V8" i="60"/>
  <c r="V7" i="60"/>
  <c r="V6" i="60"/>
  <c r="V5" i="60"/>
  <c r="U9" i="60"/>
  <c r="T9" i="60"/>
  <c r="U8" i="60"/>
  <c r="T8" i="60"/>
  <c r="U7" i="60"/>
  <c r="T7" i="60"/>
  <c r="U6" i="60"/>
  <c r="T6" i="60"/>
  <c r="U5" i="60"/>
  <c r="T5" i="60"/>
  <c r="K33" i="64"/>
  <c r="K32" i="64"/>
  <c r="K31" i="64"/>
  <c r="K30" i="64"/>
  <c r="K29" i="64"/>
  <c r="K28" i="64"/>
  <c r="K27" i="64"/>
  <c r="L21" i="64" l="1"/>
  <c r="K21" i="64"/>
  <c r="L20" i="64"/>
  <c r="K20" i="64"/>
  <c r="L19" i="64"/>
  <c r="K19" i="64"/>
  <c r="L18" i="64"/>
  <c r="K18" i="64"/>
  <c r="L17" i="64"/>
  <c r="K17" i="64"/>
  <c r="L16" i="64"/>
  <c r="K16" i="64"/>
  <c r="E18" i="64"/>
  <c r="D18" i="64"/>
  <c r="E17" i="64"/>
  <c r="D17" i="64"/>
  <c r="E16" i="64"/>
  <c r="D16" i="64"/>
  <c r="C4" i="63"/>
  <c r="C5" i="63"/>
  <c r="C6" i="63"/>
  <c r="C7" i="63"/>
  <c r="C8" i="63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4" i="64"/>
  <c r="F4" i="64"/>
  <c r="G4" i="64"/>
  <c r="C5" i="64"/>
  <c r="F5" i="64"/>
  <c r="G5" i="64"/>
  <c r="C6" i="64"/>
  <c r="F6" i="64"/>
  <c r="G6" i="64"/>
  <c r="G12" i="64"/>
  <c r="F12" i="64"/>
  <c r="C12" i="64"/>
  <c r="G11" i="64"/>
  <c r="F11" i="64"/>
  <c r="C11" i="64"/>
  <c r="G10" i="64"/>
  <c r="F10" i="64"/>
  <c r="C10" i="64"/>
  <c r="G9" i="64"/>
  <c r="F9" i="64"/>
  <c r="C9" i="64"/>
  <c r="G8" i="64"/>
  <c r="F8" i="64"/>
  <c r="C8" i="64"/>
  <c r="G7" i="64"/>
  <c r="F7" i="64"/>
  <c r="C7" i="64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G16" i="57"/>
  <c r="G15" i="57"/>
  <c r="G14" i="57"/>
  <c r="G13" i="57"/>
  <c r="G12" i="57"/>
  <c r="G11" i="57"/>
  <c r="G10" i="57"/>
  <c r="G9" i="57"/>
  <c r="G8" i="57"/>
  <c r="G7" i="57"/>
  <c r="G6" i="57"/>
  <c r="G4" i="57"/>
  <c r="G5" i="57"/>
  <c r="G21" i="63"/>
  <c r="G20" i="63"/>
  <c r="G18" i="63"/>
  <c r="G17" i="63"/>
  <c r="G16" i="63"/>
  <c r="G15" i="63"/>
  <c r="G14" i="63"/>
  <c r="G13" i="63"/>
  <c r="G12" i="63"/>
  <c r="G11" i="63"/>
  <c r="G10" i="63"/>
  <c r="G9" i="63"/>
  <c r="G8" i="63"/>
  <c r="G7" i="63"/>
  <c r="G6" i="63"/>
  <c r="G5" i="63"/>
  <c r="G4" i="63"/>
  <c r="F21" i="63"/>
  <c r="F20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M5" i="62" l="1"/>
  <c r="L5" i="62"/>
  <c r="M4" i="62"/>
  <c r="L4" i="62"/>
  <c r="E6" i="62"/>
  <c r="D6" i="62"/>
  <c r="E5" i="62"/>
  <c r="D5" i="62"/>
  <c r="E4" i="62"/>
  <c r="D4" i="62"/>
  <c r="C22" i="62" l="1"/>
  <c r="K21" i="62"/>
  <c r="C21" i="62"/>
  <c r="K20" i="62"/>
  <c r="C20" i="62"/>
  <c r="C14" i="62"/>
  <c r="K13" i="62"/>
  <c r="C13" i="62"/>
  <c r="K12" i="62"/>
  <c r="C12" i="62"/>
  <c r="C28" i="60"/>
  <c r="C2" i="61"/>
  <c r="C3" i="61"/>
  <c r="C4" i="61"/>
  <c r="C6" i="61"/>
  <c r="C7" i="61"/>
  <c r="C9" i="61"/>
  <c r="C10" i="61"/>
  <c r="C11" i="61"/>
  <c r="C12" i="61"/>
  <c r="C21" i="60" l="1"/>
  <c r="C20" i="60"/>
  <c r="C19" i="60"/>
  <c r="C18" i="60"/>
  <c r="K16" i="60"/>
  <c r="K15" i="60"/>
  <c r="C16" i="60"/>
  <c r="C15" i="60"/>
  <c r="C17" i="60"/>
  <c r="E4" i="60" l="1"/>
  <c r="D4" i="60"/>
  <c r="E3" i="60"/>
  <c r="D3" i="60"/>
  <c r="E5" i="60"/>
  <c r="D5" i="60"/>
  <c r="L5" i="60" l="1"/>
  <c r="M5" i="60"/>
  <c r="L6" i="60"/>
  <c r="M6" i="60"/>
  <c r="L7" i="60"/>
  <c r="M7" i="60"/>
  <c r="L8" i="60"/>
  <c r="M8" i="60"/>
  <c r="L9" i="60"/>
  <c r="M9" i="60"/>
  <c r="K21" i="60" l="1"/>
  <c r="K20" i="60"/>
  <c r="K19" i="60"/>
  <c r="K18" i="60"/>
  <c r="K17" i="60"/>
  <c r="C33" i="60"/>
  <c r="C32" i="60"/>
  <c r="C31" i="60"/>
  <c r="C30" i="60"/>
  <c r="C29" i="60"/>
  <c r="C27" i="60"/>
  <c r="F9" i="59"/>
  <c r="E9" i="59"/>
  <c r="K33" i="60" l="1"/>
  <c r="K32" i="60"/>
  <c r="K31" i="60"/>
  <c r="K30" i="60"/>
  <c r="K29" i="60"/>
  <c r="K28" i="60"/>
  <c r="K27" i="60" l="1"/>
  <c r="C31" i="61" l="1"/>
  <c r="C30" i="61"/>
  <c r="C29" i="61"/>
  <c r="C28" i="61"/>
  <c r="C27" i="61"/>
  <c r="C26" i="61"/>
  <c r="C25" i="61"/>
  <c r="C21" i="61"/>
  <c r="C20" i="61"/>
  <c r="C19" i="61"/>
  <c r="C18" i="61"/>
  <c r="C15" i="61"/>
  <c r="C14" i="61"/>
  <c r="C13" i="61"/>
  <c r="G24" i="59" l="1"/>
  <c r="G25" i="59" s="1"/>
  <c r="F24" i="59"/>
  <c r="F25" i="59" s="1"/>
  <c r="E24" i="59"/>
  <c r="E25" i="59" s="1"/>
  <c r="D24" i="59"/>
  <c r="D25" i="59" s="1"/>
  <c r="I20" i="59"/>
  <c r="H20" i="59"/>
  <c r="G20" i="59"/>
  <c r="D20" i="59"/>
  <c r="I19" i="59"/>
  <c r="H19" i="59"/>
  <c r="G19" i="59"/>
  <c r="D19" i="59"/>
  <c r="I18" i="59"/>
  <c r="H18" i="59"/>
  <c r="G18" i="59"/>
  <c r="D18" i="59"/>
  <c r="I17" i="59"/>
  <c r="H17" i="59"/>
  <c r="G17" i="59"/>
  <c r="D17" i="59"/>
  <c r="I16" i="59"/>
  <c r="H16" i="59"/>
  <c r="G16" i="59"/>
  <c r="D16" i="59"/>
  <c r="I15" i="59"/>
  <c r="H15" i="59"/>
  <c r="G15" i="59"/>
  <c r="D15" i="59"/>
  <c r="I14" i="59"/>
  <c r="H14" i="59"/>
  <c r="G14" i="59"/>
  <c r="D14" i="59"/>
  <c r="I13" i="59"/>
  <c r="H13" i="59"/>
  <c r="G13" i="59"/>
  <c r="D13" i="59"/>
  <c r="I9" i="59"/>
  <c r="J32" i="59" l="1"/>
  <c r="I32" i="59" s="1"/>
  <c r="J31" i="59"/>
  <c r="I31" i="59" s="1"/>
  <c r="J27" i="59"/>
  <c r="I27" i="59" s="1"/>
  <c r="J30" i="59"/>
  <c r="I30" i="59" s="1"/>
  <c r="J29" i="59"/>
  <c r="I29" i="59" s="1"/>
  <c r="J26" i="59"/>
  <c r="I26" i="59" s="1"/>
  <c r="J28" i="59"/>
  <c r="I28" i="59" s="1"/>
  <c r="J25" i="59"/>
  <c r="I25" i="59" s="1"/>
  <c r="E3" i="9"/>
  <c r="G5" i="9" s="1"/>
  <c r="F3" i="9"/>
  <c r="H5" i="9" s="1"/>
  <c r="G3" i="9"/>
  <c r="F5" i="9" s="1"/>
  <c r="H3" i="9"/>
  <c r="E5" i="9" s="1"/>
  <c r="D13" i="9"/>
  <c r="E13" i="9" s="1"/>
  <c r="G13" i="9"/>
  <c r="H13" i="9"/>
  <c r="I13" i="9"/>
  <c r="D14" i="9"/>
  <c r="E14" i="9" s="1"/>
  <c r="G14" i="9"/>
  <c r="H14" i="9"/>
  <c r="I14" i="9"/>
  <c r="D15" i="9"/>
  <c r="E15" i="9" s="1"/>
  <c r="G15" i="9"/>
  <c r="H15" i="9"/>
  <c r="I15" i="9"/>
  <c r="D16" i="9"/>
  <c r="E16" i="9" s="1"/>
  <c r="G16" i="9"/>
  <c r="H16" i="9"/>
  <c r="I16" i="9"/>
  <c r="D17" i="9"/>
  <c r="E17" i="9" s="1"/>
  <c r="G17" i="9"/>
  <c r="H17" i="9"/>
  <c r="I17" i="9"/>
  <c r="D18" i="9"/>
  <c r="E18" i="9" s="1"/>
  <c r="G18" i="9"/>
  <c r="H18" i="9"/>
  <c r="I18" i="9"/>
  <c r="D19" i="9"/>
  <c r="E19" i="9" s="1"/>
  <c r="G19" i="9"/>
  <c r="H19" i="9"/>
  <c r="I19" i="9"/>
  <c r="D20" i="9"/>
  <c r="E20" i="9" s="1"/>
  <c r="G20" i="9"/>
  <c r="H20" i="9"/>
  <c r="I20" i="9"/>
  <c r="D24" i="9"/>
  <c r="D25" i="9" s="1"/>
  <c r="E24" i="9"/>
  <c r="E25" i="9" s="1"/>
  <c r="F24" i="9"/>
  <c r="F25" i="9" s="1"/>
  <c r="G24" i="9"/>
  <c r="G25" i="9" s="1"/>
</calcChain>
</file>

<file path=xl/sharedStrings.xml><?xml version="1.0" encoding="utf-8"?>
<sst xmlns="http://schemas.openxmlformats.org/spreadsheetml/2006/main" count="465" uniqueCount="129">
  <si>
    <t>DG</t>
  </si>
  <si>
    <t>wt., g</t>
  </si>
  <si>
    <t>S</t>
  </si>
  <si>
    <t>V</t>
  </si>
  <si>
    <t>DH</t>
  </si>
  <si>
    <t>a</t>
  </si>
  <si>
    <t>b</t>
  </si>
  <si>
    <t>c</t>
  </si>
  <si>
    <t>e</t>
  </si>
  <si>
    <t>d</t>
  </si>
  <si>
    <t>nitrogen_dioxide</t>
  </si>
  <si>
    <t>NO2,gas</t>
  </si>
  <si>
    <t>prons name</t>
  </si>
  <si>
    <t>soltherm name</t>
  </si>
  <si>
    <t>formula</t>
  </si>
  <si>
    <t>NO2</t>
  </si>
  <si>
    <t>T</t>
  </si>
  <si>
    <t>T^-2</t>
  </si>
  <si>
    <t>T^-0.5</t>
  </si>
  <si>
    <t>T^2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</si>
  <si>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</si>
  <si>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</si>
  <si>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</si>
  <si>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</si>
  <si>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</si>
  <si>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</si>
  <si>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</si>
  <si>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</si>
  <si>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</si>
  <si>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</si>
  <si>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</si>
  <si>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</si>
  <si>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</si>
  <si>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</si>
  <si>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</si>
  <si>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</si>
  <si>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</si>
  <si>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</si>
  <si>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</si>
  <si>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</si>
  <si>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</si>
  <si>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</si>
  <si>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</si>
  <si>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</si>
  <si>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</si>
  <si>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</si>
  <si>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</si>
  <si>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regressed values</t>
  </si>
  <si>
    <t>Cp - J</t>
  </si>
  <si>
    <t>Cp - cal</t>
  </si>
  <si>
    <t>converted to slop 4-term</t>
  </si>
  <si>
    <t>T limit, K</t>
  </si>
  <si>
    <t>Found and uploaded:___________________________________</t>
  </si>
  <si>
    <t>RO78: Robie, R. A., Hemingway, B. S., and Fisher, J. R.,</t>
  </si>
  <si>
    <t>B672: Pankratz, L. B., 1982, Thermodynamic properties of</t>
  </si>
  <si>
    <t xml:space="preserve">        elements and oxides: U.S. Bur. Mines Bull. 672,</t>
  </si>
  <si>
    <t xml:space="preserve">        509 p.</t>
  </si>
  <si>
    <t>T(C)</t>
  </si>
  <si>
    <t>Evans, K.A., Powell, R. &amp; Holland, T.J.B., 2010. Inter-</t>
  </si>
  <si>
    <t>nally consistent data for sulphur-bearing phases and</t>
  </si>
  <si>
    <t>applications to the constructions for mafic greenschists facies</t>
  </si>
  <si>
    <t>rocks in Na 2 O-CaO-K 2 O-FeO-MgO-Al 2 O3 -SiO2 -CO2 -O-S-H 2 O.</t>
  </si>
  <si>
    <t>Journal of Metamorphic Geology, 28, 667–687.</t>
  </si>
  <si>
    <t>Holland and Powell 2011 reference this:</t>
  </si>
  <si>
    <t>Symonds</t>
  </si>
  <si>
    <t>H&amp;P</t>
  </si>
  <si>
    <t>S(liq)Sy</t>
  </si>
  <si>
    <t>S(mono)Sy</t>
  </si>
  <si>
    <t>S(ortho)HP</t>
  </si>
  <si>
    <t>S(ortho)Sy</t>
  </si>
  <si>
    <t>T, K</t>
  </si>
  <si>
    <t>T, C</t>
  </si>
  <si>
    <t>Cp</t>
  </si>
  <si>
    <t>H-H298</t>
  </si>
  <si>
    <t>388.36-432.02 K</t>
  </si>
  <si>
    <t>432.02-717.824 K</t>
  </si>
  <si>
    <t>Actual data</t>
  </si>
  <si>
    <t>Local regression</t>
  </si>
  <si>
    <t>actual values</t>
  </si>
  <si>
    <t>for regression</t>
  </si>
  <si>
    <t>S, joules</t>
  </si>
  <si>
    <t>Cp from coeffs above</t>
  </si>
  <si>
    <t>Pankratz regression</t>
  </si>
  <si>
    <t>solid</t>
  </si>
  <si>
    <t>liquid</t>
  </si>
  <si>
    <t>ortho</t>
  </si>
  <si>
    <t>mono</t>
  </si>
  <si>
    <t>a-&gt;b</t>
  </si>
  <si>
    <t>298.15-368.3K</t>
  </si>
  <si>
    <t>368.3-388.36 K</t>
  </si>
  <si>
    <t>J</t>
  </si>
  <si>
    <t>cal</t>
  </si>
  <si>
    <t>Pankratz</t>
  </si>
  <si>
    <t>JANAF</t>
  </si>
  <si>
    <t>ortho-mono transition betweeen 100 and 200</t>
  </si>
  <si>
    <t>difference</t>
  </si>
  <si>
    <t>JANAF for comparison</t>
  </si>
  <si>
    <t>ortho-mono</t>
  </si>
  <si>
    <t>mono-liq</t>
  </si>
  <si>
    <t>Exactly as for Pankratz</t>
  </si>
  <si>
    <t>to</t>
  </si>
  <si>
    <t>Orthorhombic</t>
  </si>
  <si>
    <t>Monoclinic</t>
  </si>
  <si>
    <t>with Supcrt conversion factors</t>
  </si>
  <si>
    <t>G</t>
  </si>
  <si>
    <t>H</t>
  </si>
  <si>
    <t>S,S</t>
  </si>
  <si>
    <t>S,Si</t>
  </si>
  <si>
    <t>S,O2</t>
  </si>
  <si>
    <t>sum</t>
  </si>
  <si>
    <t>=sum/4.184</t>
  </si>
  <si>
    <t>T*DS</t>
  </si>
  <si>
    <t>DG=DH-T*DS</t>
  </si>
  <si>
    <t>Quartz</t>
  </si>
  <si>
    <t>S,mono</t>
  </si>
  <si>
    <t>unknown</t>
  </si>
  <si>
    <t>S,ortho</t>
  </si>
  <si>
    <t>S,liq-a</t>
  </si>
  <si>
    <t>S,liq-b</t>
  </si>
  <si>
    <t>S,liq</t>
  </si>
  <si>
    <t>S,Pankratz</t>
  </si>
  <si>
    <t>S for T*DS</t>
  </si>
  <si>
    <t>Entropy of Formation</t>
  </si>
  <si>
    <t>Third law entropy</t>
  </si>
  <si>
    <t>*JA85 ... NIST-JANAF Thermochemical Tables. NIST Standard Reference Database 13.</t>
  </si>
  <si>
    <t>*      Version 1.0 (1985). Data compiled and evaluated by M.W. Chase, Jr.,</t>
  </si>
  <si>
    <t>*      C.A. Davies, J.R. Downey, Jr., D.J. Frurip, R.A. McDonald, and A.N. Syverud</t>
  </si>
  <si>
    <t>*      Distributed by Standard Reference Data Program National Institute of Standards</t>
  </si>
  <si>
    <t>*      and Technology. Gaithersburg, MD 20899. https://janaf.nist.gov/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</si>
</sst>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"/>
    <numFmt numFmtId="167" formatCode="0.000000"/>
    <numFmt numFmtId="168" formatCode="0.000E+00"/>
    <numFmt numFmtId="169" formatCode="0.000000000000000"/>
  </numFmts>
  <fonts count="10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 Unicode MS"/>
    </font>
    <font>
      <b/>
      <sz val="11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7" fillId="5" borderId="0" applyNumberFormat="0" applyBorder="0" applyAlignment="0" applyProtection="0"/>
  </cellStyleXfs>
  <cellXfs count="32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2" fillId="0" borderId="0" xfId="0" applyFont="1"/>
    <xf numFmtId="0" fontId="0" fillId="2" borderId="0" xfId="0" applyFill="1"/>
    <xf numFmtId="165" fontId="0" fillId="3" borderId="0" xfId="0" applyNumberFormat="1" applyFill="1"/>
    <xf numFmtId="166" fontId="0" fillId="3" borderId="0" xfId="0" applyNumberFormat="1" applyFill="1"/>
    <xf numFmtId="167" fontId="0" fillId="3" borderId="0" xfId="0" applyNumberFormat="1" applyFill="1"/>
    <xf numFmtId="165" fontId="0" fillId="0" borderId="0" xfId="0" applyNumberFormat="1"/>
    <xf numFmtId="166" fontId="0" fillId="0" borderId="0" xfId="0" applyNumberForma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8" fontId="0" fillId="2" borderId="0" xfId="0" applyNumberFormat="1" applyFill="1"/>
    <xf numFmtId="0" fontId="4" fillId="0" borderId="0" xfId="0" applyFont="1"/>
    <xf numFmtId="0" fontId="5" fillId="0" borderId="0" xfId="0" applyFont="1"/>
    <xf numFmtId="165" fontId="4" fillId="0" borderId="0" xfId="0" applyNumberFormat="1" applyFont="1"/>
    <xf numFmtId="164" fontId="6" fillId="4" borderId="0" xfId="1" applyNumberFormat="1"/>
    <xf numFmtId="0" fontId="1" fillId="0" borderId="0" xfId="0" applyFont="1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horizontal="left"/>
    </xf>
    <xf numFmtId="165" fontId="1" fillId="0" borderId="0" xfId="0" applyNumberFormat="1" applyFont="1"/>
    <xf numFmtId="169" fontId="0" fillId="0" borderId="0" xfId="0" applyNumberFormat="1"/>
    <xf numFmtId="168" fontId="0" fillId="0" borderId="0" xfId="0" applyNumberFormat="1"/>
    <xf numFmtId="167" fontId="0" fillId="0" borderId="0" xfId="0" applyNumberFormat="1"/>
    <xf numFmtId="0" fontId="8" fillId="0" borderId="0" xfId="0" applyFont="1" applyAlignment="1">
      <alignment vertical="center"/>
    </xf>
    <xf numFmtId="0" fontId="7" fillId="5" borderId="0" xfId="2"/>
    <xf numFmtId="0" fontId="9" fillId="5" borderId="0" xfId="2" applyFont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99FF99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Symonds</a:t>
            </a:r>
            <a:r>
              <a:rPr lang="en-US" baseline="0"/>
              <a:t> Only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37209477516904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846824386131685E-2"/>
          <c:y val="6.4017352860478244E-2"/>
          <c:w val="0.93306130013930488"/>
          <c:h val="0.845376280627643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'LogK graphs'!$C$3</c:f>
              <c:strCache>
                <c:ptCount val="1"/>
                <c:pt idx="0">
                  <c:v>S(liq)Sy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graphs'!$C$4:$C$16</c:f>
              <c:numCache>
                <c:formatCode>General</c:formatCode>
                <c:ptCount val="13"/>
                <c:pt idx="0">
                  <c:v>5.9329999999999998</c:v>
                </c:pt>
                <c:pt idx="1">
                  <c:v>5.1219999999999999</c:v>
                </c:pt>
                <c:pt idx="2">
                  <c:v>4.375</c:v>
                </c:pt>
                <c:pt idx="3">
                  <c:v>3.827</c:v>
                </c:pt>
                <c:pt idx="4">
                  <c:v>3.4089999999999998</c:v>
                </c:pt>
                <c:pt idx="5">
                  <c:v>3.077</c:v>
                </c:pt>
                <c:pt idx="6">
                  <c:v>2.806</c:v>
                </c:pt>
                <c:pt idx="7">
                  <c:v>2.5779999999999998</c:v>
                </c:pt>
                <c:pt idx="8">
                  <c:v>2.383</c:v>
                </c:pt>
                <c:pt idx="9">
                  <c:v>2.2149999999999999</c:v>
                </c:pt>
                <c:pt idx="10">
                  <c:v>2.0670000000000002</c:v>
                </c:pt>
                <c:pt idx="11">
                  <c:v>1.9359999999999999</c:v>
                </c:pt>
                <c:pt idx="12">
                  <c:v>1.819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E1-401D-844B-E989321E8F97}"/>
            </c:ext>
          </c:extLst>
        </c:ser>
        <c:ser>
          <c:idx val="1"/>
          <c:order val="1"/>
          <c:tx>
            <c:strRef>
              <c:f>'LogK graphs'!$D$3</c:f>
              <c:strCache>
                <c:ptCount val="1"/>
                <c:pt idx="0">
                  <c:v>S(mono)Sy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graphs'!$D$4:$D$16</c:f>
              <c:numCache>
                <c:formatCode>General</c:formatCode>
                <c:ptCount val="13"/>
                <c:pt idx="0">
                  <c:v>5.8730000000000002</c:v>
                </c:pt>
                <c:pt idx="1">
                  <c:v>5.1120000000000001</c:v>
                </c:pt>
                <c:pt idx="2">
                  <c:v>4.4279999999999999</c:v>
                </c:pt>
                <c:pt idx="3">
                  <c:v>3.95</c:v>
                </c:pt>
                <c:pt idx="4">
                  <c:v>3.5939999999999999</c:v>
                </c:pt>
                <c:pt idx="5">
                  <c:v>3.3149999999999999</c:v>
                </c:pt>
                <c:pt idx="6">
                  <c:v>3.09</c:v>
                </c:pt>
                <c:pt idx="7">
                  <c:v>2.9039999999999999</c:v>
                </c:pt>
                <c:pt idx="8">
                  <c:v>2.7469999999999999</c:v>
                </c:pt>
                <c:pt idx="9">
                  <c:v>2.613</c:v>
                </c:pt>
                <c:pt idx="10">
                  <c:v>2.4969999999999999</c:v>
                </c:pt>
                <c:pt idx="11">
                  <c:v>2.395</c:v>
                </c:pt>
                <c:pt idx="12">
                  <c:v>2.3050000000000002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E1-401D-844B-E989321E8F97}"/>
            </c:ext>
          </c:extLst>
        </c:ser>
        <c:ser>
          <c:idx val="2"/>
          <c:order val="2"/>
          <c:tx>
            <c:strRef>
              <c:f>'LogK graphs'!$E$3</c:f>
              <c:strCache>
                <c:ptCount val="1"/>
                <c:pt idx="0">
                  <c:v>S(ortho)Sy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graphs'!$E$4:$E$16</c:f>
              <c:numCache>
                <c:formatCode>General</c:formatCode>
                <c:ptCount val="13"/>
                <c:pt idx="0">
                  <c:v>5.8609999999999998</c:v>
                </c:pt>
                <c:pt idx="1">
                  <c:v>5.1130000000000004</c:v>
                </c:pt>
                <c:pt idx="2">
                  <c:v>4.4420000000000002</c:v>
                </c:pt>
                <c:pt idx="3">
                  <c:v>3.9729999999999999</c:v>
                </c:pt>
                <c:pt idx="4">
                  <c:v>3.6240000000000001</c:v>
                </c:pt>
                <c:pt idx="5">
                  <c:v>3.3519999999999999</c:v>
                </c:pt>
                <c:pt idx="6">
                  <c:v>3.1320000000000001</c:v>
                </c:pt>
                <c:pt idx="7">
                  <c:v>2.9510000000000001</c:v>
                </c:pt>
                <c:pt idx="8">
                  <c:v>2.798</c:v>
                </c:pt>
                <c:pt idx="9">
                  <c:v>2.6680000000000001</c:v>
                </c:pt>
                <c:pt idx="10">
                  <c:v>2.5550000000000002</c:v>
                </c:pt>
                <c:pt idx="11">
                  <c:v>2.456</c:v>
                </c:pt>
                <c:pt idx="12">
                  <c:v>2.3690000000000002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E1-401D-844B-E989321E8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967792"/>
        <c:axId val="1921265440"/>
      </c:scatterChart>
      <c:valAx>
        <c:axId val="1929967792"/>
        <c:scaling>
          <c:orientation val="minMax"/>
          <c:max val="3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265440"/>
        <c:crosses val="autoZero"/>
        <c:crossBetween val="midCat"/>
      </c:valAx>
      <c:valAx>
        <c:axId val="1921265440"/>
        <c:scaling>
          <c:orientation val="minMax"/>
          <c:max val="6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967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Symonds and</a:t>
            </a:r>
            <a:r>
              <a:rPr lang="en-US" baseline="0"/>
              <a:t> adding </a:t>
            </a:r>
            <a:r>
              <a:rPr lang="en-US"/>
              <a:t>+ H&amp;P(ortho)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653298772436055E-2"/>
          <c:y val="7.8313431979061029E-2"/>
          <c:w val="0.92676282170889779"/>
          <c:h val="0.792110825886900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'LogK graphs'!$C$3</c:f>
              <c:strCache>
                <c:ptCount val="1"/>
                <c:pt idx="0">
                  <c:v>S(liq)Sy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graphs'!$C$4:$C$16</c:f>
              <c:numCache>
                <c:formatCode>General</c:formatCode>
                <c:ptCount val="13"/>
                <c:pt idx="0">
                  <c:v>5.9329999999999998</c:v>
                </c:pt>
                <c:pt idx="1">
                  <c:v>5.1219999999999999</c:v>
                </c:pt>
                <c:pt idx="2">
                  <c:v>4.375</c:v>
                </c:pt>
                <c:pt idx="3">
                  <c:v>3.827</c:v>
                </c:pt>
                <c:pt idx="4">
                  <c:v>3.4089999999999998</c:v>
                </c:pt>
                <c:pt idx="5">
                  <c:v>3.077</c:v>
                </c:pt>
                <c:pt idx="6">
                  <c:v>2.806</c:v>
                </c:pt>
                <c:pt idx="7">
                  <c:v>2.5779999999999998</c:v>
                </c:pt>
                <c:pt idx="8">
                  <c:v>2.383</c:v>
                </c:pt>
                <c:pt idx="9">
                  <c:v>2.2149999999999999</c:v>
                </c:pt>
                <c:pt idx="10">
                  <c:v>2.0670000000000002</c:v>
                </c:pt>
                <c:pt idx="11">
                  <c:v>1.9359999999999999</c:v>
                </c:pt>
                <c:pt idx="12">
                  <c:v>1.819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13-4920-A5F6-6627669E9658}"/>
            </c:ext>
          </c:extLst>
        </c:ser>
        <c:ser>
          <c:idx val="1"/>
          <c:order val="1"/>
          <c:tx>
            <c:strRef>
              <c:f>'LogK graphs'!$D$3</c:f>
              <c:strCache>
                <c:ptCount val="1"/>
                <c:pt idx="0">
                  <c:v>S(mono)Sy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graphs'!$D$4:$D$16</c:f>
              <c:numCache>
                <c:formatCode>General</c:formatCode>
                <c:ptCount val="13"/>
                <c:pt idx="0">
                  <c:v>5.8730000000000002</c:v>
                </c:pt>
                <c:pt idx="1">
                  <c:v>5.1120000000000001</c:v>
                </c:pt>
                <c:pt idx="2">
                  <c:v>4.4279999999999999</c:v>
                </c:pt>
                <c:pt idx="3">
                  <c:v>3.95</c:v>
                </c:pt>
                <c:pt idx="4">
                  <c:v>3.5939999999999999</c:v>
                </c:pt>
                <c:pt idx="5">
                  <c:v>3.3149999999999999</c:v>
                </c:pt>
                <c:pt idx="6">
                  <c:v>3.09</c:v>
                </c:pt>
                <c:pt idx="7">
                  <c:v>2.9039999999999999</c:v>
                </c:pt>
                <c:pt idx="8">
                  <c:v>2.7469999999999999</c:v>
                </c:pt>
                <c:pt idx="9">
                  <c:v>2.613</c:v>
                </c:pt>
                <c:pt idx="10">
                  <c:v>2.4969999999999999</c:v>
                </c:pt>
                <c:pt idx="11">
                  <c:v>2.395</c:v>
                </c:pt>
                <c:pt idx="12">
                  <c:v>2.3050000000000002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13-4920-A5F6-6627669E9658}"/>
            </c:ext>
          </c:extLst>
        </c:ser>
        <c:ser>
          <c:idx val="2"/>
          <c:order val="2"/>
          <c:tx>
            <c:strRef>
              <c:f>'LogK graphs'!$E$3</c:f>
              <c:strCache>
                <c:ptCount val="1"/>
                <c:pt idx="0">
                  <c:v>S(ortho)Sy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graphs'!$E$4:$E$16</c:f>
              <c:numCache>
                <c:formatCode>General</c:formatCode>
                <c:ptCount val="13"/>
                <c:pt idx="0">
                  <c:v>5.8609999999999998</c:v>
                </c:pt>
                <c:pt idx="1">
                  <c:v>5.1130000000000004</c:v>
                </c:pt>
                <c:pt idx="2">
                  <c:v>4.4420000000000002</c:v>
                </c:pt>
                <c:pt idx="3">
                  <c:v>3.9729999999999999</c:v>
                </c:pt>
                <c:pt idx="4">
                  <c:v>3.6240000000000001</c:v>
                </c:pt>
                <c:pt idx="5">
                  <c:v>3.3519999999999999</c:v>
                </c:pt>
                <c:pt idx="6">
                  <c:v>3.1320000000000001</c:v>
                </c:pt>
                <c:pt idx="7">
                  <c:v>2.9510000000000001</c:v>
                </c:pt>
                <c:pt idx="8">
                  <c:v>2.798</c:v>
                </c:pt>
                <c:pt idx="9">
                  <c:v>2.6680000000000001</c:v>
                </c:pt>
                <c:pt idx="10">
                  <c:v>2.5550000000000002</c:v>
                </c:pt>
                <c:pt idx="11">
                  <c:v>2.456</c:v>
                </c:pt>
                <c:pt idx="12">
                  <c:v>2.3690000000000002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13-4920-A5F6-6627669E9658}"/>
            </c:ext>
          </c:extLst>
        </c:ser>
        <c:ser>
          <c:idx val="3"/>
          <c:order val="3"/>
          <c:tx>
            <c:strRef>
              <c:f>'LogK graphs'!$F$3</c:f>
              <c:strCache>
                <c:ptCount val="1"/>
                <c:pt idx="0">
                  <c:v>S(ortho)HP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graphs'!$F$4:$F$16</c:f>
              <c:numCache>
                <c:formatCode>General</c:formatCode>
                <c:ptCount val="13"/>
                <c:pt idx="0">
                  <c:v>5.8040000000000003</c:v>
                </c:pt>
                <c:pt idx="1">
                  <c:v>5.0529999999999999</c:v>
                </c:pt>
                <c:pt idx="2">
                  <c:v>4.3479999999999999</c:v>
                </c:pt>
                <c:pt idx="3">
                  <c:v>3.8359999999999999</c:v>
                </c:pt>
                <c:pt idx="4">
                  <c:v>3.4390000000000001</c:v>
                </c:pt>
                <c:pt idx="5">
                  <c:v>3.1190000000000002</c:v>
                </c:pt>
                <c:pt idx="6">
                  <c:v>2.8530000000000002</c:v>
                </c:pt>
                <c:pt idx="7">
                  <c:v>2.6269999999999998</c:v>
                </c:pt>
                <c:pt idx="8">
                  <c:v>2.4319999999999999</c:v>
                </c:pt>
                <c:pt idx="9">
                  <c:v>2.2610000000000001</c:v>
                </c:pt>
                <c:pt idx="10">
                  <c:v>2.11</c:v>
                </c:pt>
                <c:pt idx="11">
                  <c:v>1.9750000000000001</c:v>
                </c:pt>
                <c:pt idx="12">
                  <c:v>1.8540000000000001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13-4920-A5F6-6627669E9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967792"/>
        <c:axId val="1921265440"/>
      </c:scatterChart>
      <c:valAx>
        <c:axId val="1929967792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265440"/>
        <c:crosses val="autoZero"/>
        <c:crossBetween val="midCat"/>
      </c:valAx>
      <c:valAx>
        <c:axId val="1921265440"/>
        <c:scaling>
          <c:orientation val="minMax"/>
          <c:max val="6"/>
          <c:min val="4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967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H&amp;P-ortho, Symonds-liq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'LogK graphs'!$K$3</c:f>
              <c:strCache>
                <c:ptCount val="1"/>
                <c:pt idx="0">
                  <c:v>S(ortho)HP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'LogK graphs'!$J$4:$J$16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graphs'!$K$4:$K$16</c:f>
              <c:numCache>
                <c:formatCode>General</c:formatCode>
                <c:ptCount val="13"/>
                <c:pt idx="0">
                  <c:v>5.8040000000000003</c:v>
                </c:pt>
                <c:pt idx="1">
                  <c:v>5.0529999999999999</c:v>
                </c:pt>
                <c:pt idx="2">
                  <c:v>4.3479999999999999</c:v>
                </c:pt>
                <c:pt idx="3">
                  <c:v>3.8359999999999999</c:v>
                </c:pt>
                <c:pt idx="4">
                  <c:v>3.4390000000000001</c:v>
                </c:pt>
                <c:pt idx="5">
                  <c:v>3.1190000000000002</c:v>
                </c:pt>
                <c:pt idx="6">
                  <c:v>2.8530000000000002</c:v>
                </c:pt>
                <c:pt idx="7">
                  <c:v>2.6269999999999998</c:v>
                </c:pt>
                <c:pt idx="8">
                  <c:v>2.4319999999999999</c:v>
                </c:pt>
                <c:pt idx="9">
                  <c:v>2.2610000000000001</c:v>
                </c:pt>
                <c:pt idx="10">
                  <c:v>2.11</c:v>
                </c:pt>
                <c:pt idx="11">
                  <c:v>1.9750000000000001</c:v>
                </c:pt>
                <c:pt idx="12">
                  <c:v>1.8540000000000001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34-4BF4-808D-539649D0AD67}"/>
            </c:ext>
          </c:extLst>
        </c:ser>
        <c:ser>
          <c:idx val="1"/>
          <c:order val="1"/>
          <c:tx>
            <c:strRef>
              <c:f>'LogK graphs'!$L$3</c:f>
              <c:strCache>
                <c:ptCount val="1"/>
                <c:pt idx="0">
                  <c:v>S(liq)Sy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'LogK graphs'!$J$4:$J$16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graphs'!$L$4:$L$16</c:f>
              <c:numCache>
                <c:formatCode>General</c:formatCode>
                <c:ptCount val="13"/>
                <c:pt idx="0">
                  <c:v>5.9329999999999998</c:v>
                </c:pt>
                <c:pt idx="1">
                  <c:v>5.1219999999999999</c:v>
                </c:pt>
                <c:pt idx="2">
                  <c:v>4.375</c:v>
                </c:pt>
                <c:pt idx="3">
                  <c:v>3.827</c:v>
                </c:pt>
                <c:pt idx="4">
                  <c:v>3.4089999999999998</c:v>
                </c:pt>
                <c:pt idx="5">
                  <c:v>3.077</c:v>
                </c:pt>
                <c:pt idx="6">
                  <c:v>2.806</c:v>
                </c:pt>
                <c:pt idx="7">
                  <c:v>2.5779999999999998</c:v>
                </c:pt>
                <c:pt idx="8">
                  <c:v>2.383</c:v>
                </c:pt>
                <c:pt idx="9">
                  <c:v>2.2149999999999999</c:v>
                </c:pt>
                <c:pt idx="10">
                  <c:v>2.0670000000000002</c:v>
                </c:pt>
                <c:pt idx="11">
                  <c:v>1.9359999999999999</c:v>
                </c:pt>
                <c:pt idx="12">
                  <c:v>1.819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34-4BF4-808D-539649D0A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480128"/>
        <c:axId val="1546403776"/>
      </c:scatterChart>
      <c:valAx>
        <c:axId val="1635480128"/>
        <c:scaling>
          <c:orientation val="minMax"/>
          <c:max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6403776"/>
        <c:crosses val="autoZero"/>
        <c:crossBetween val="midCat"/>
      </c:valAx>
      <c:valAx>
        <c:axId val="1546403776"/>
        <c:scaling>
          <c:orientation val="minMax"/>
          <c:max val="6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480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Symonds</a:t>
            </a:r>
            <a:r>
              <a:rPr lang="en-US" baseline="0"/>
              <a:t> Only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37209477516904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846824386131685E-2"/>
          <c:y val="6.4017352860478244E-2"/>
          <c:w val="0.93306130013930488"/>
          <c:h val="0.845376280627643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'LogK graphs'!$C$3</c:f>
              <c:strCache>
                <c:ptCount val="1"/>
                <c:pt idx="0">
                  <c:v>S(liq)Sy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graphs'!$C$4:$C$16</c:f>
              <c:numCache>
                <c:formatCode>General</c:formatCode>
                <c:ptCount val="13"/>
                <c:pt idx="0">
                  <c:v>5.9329999999999998</c:v>
                </c:pt>
                <c:pt idx="1">
                  <c:v>5.1219999999999999</c:v>
                </c:pt>
                <c:pt idx="2">
                  <c:v>4.375</c:v>
                </c:pt>
                <c:pt idx="3">
                  <c:v>3.827</c:v>
                </c:pt>
                <c:pt idx="4">
                  <c:v>3.4089999999999998</c:v>
                </c:pt>
                <c:pt idx="5">
                  <c:v>3.077</c:v>
                </c:pt>
                <c:pt idx="6">
                  <c:v>2.806</c:v>
                </c:pt>
                <c:pt idx="7">
                  <c:v>2.5779999999999998</c:v>
                </c:pt>
                <c:pt idx="8">
                  <c:v>2.383</c:v>
                </c:pt>
                <c:pt idx="9">
                  <c:v>2.2149999999999999</c:v>
                </c:pt>
                <c:pt idx="10">
                  <c:v>2.0670000000000002</c:v>
                </c:pt>
                <c:pt idx="11">
                  <c:v>1.9359999999999999</c:v>
                </c:pt>
                <c:pt idx="12">
                  <c:v>1.819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D8-4B86-9BB6-F6C5872633D0}"/>
            </c:ext>
          </c:extLst>
        </c:ser>
        <c:ser>
          <c:idx val="1"/>
          <c:order val="1"/>
          <c:tx>
            <c:strRef>
              <c:f>'LogK graphs'!$D$3</c:f>
              <c:strCache>
                <c:ptCount val="1"/>
                <c:pt idx="0">
                  <c:v>S(mono)Sy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graphs'!$D$4:$D$16</c:f>
              <c:numCache>
                <c:formatCode>General</c:formatCode>
                <c:ptCount val="13"/>
                <c:pt idx="0">
                  <c:v>5.8730000000000002</c:v>
                </c:pt>
                <c:pt idx="1">
                  <c:v>5.1120000000000001</c:v>
                </c:pt>
                <c:pt idx="2">
                  <c:v>4.4279999999999999</c:v>
                </c:pt>
                <c:pt idx="3">
                  <c:v>3.95</c:v>
                </c:pt>
                <c:pt idx="4">
                  <c:v>3.5939999999999999</c:v>
                </c:pt>
                <c:pt idx="5">
                  <c:v>3.3149999999999999</c:v>
                </c:pt>
                <c:pt idx="6">
                  <c:v>3.09</c:v>
                </c:pt>
                <c:pt idx="7">
                  <c:v>2.9039999999999999</c:v>
                </c:pt>
                <c:pt idx="8">
                  <c:v>2.7469999999999999</c:v>
                </c:pt>
                <c:pt idx="9">
                  <c:v>2.613</c:v>
                </c:pt>
                <c:pt idx="10">
                  <c:v>2.4969999999999999</c:v>
                </c:pt>
                <c:pt idx="11">
                  <c:v>2.395</c:v>
                </c:pt>
                <c:pt idx="12">
                  <c:v>2.3050000000000002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D8-4B86-9BB6-F6C5872633D0}"/>
            </c:ext>
          </c:extLst>
        </c:ser>
        <c:ser>
          <c:idx val="2"/>
          <c:order val="2"/>
          <c:tx>
            <c:strRef>
              <c:f>'LogK graphs'!$E$3</c:f>
              <c:strCache>
                <c:ptCount val="1"/>
                <c:pt idx="0">
                  <c:v>S(ortho)Sy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'LogK graphs'!$B$4:$B$16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graphs'!$E$4:$E$16</c:f>
              <c:numCache>
                <c:formatCode>General</c:formatCode>
                <c:ptCount val="13"/>
                <c:pt idx="0">
                  <c:v>5.8609999999999998</c:v>
                </c:pt>
                <c:pt idx="1">
                  <c:v>5.1130000000000004</c:v>
                </c:pt>
                <c:pt idx="2">
                  <c:v>4.4420000000000002</c:v>
                </c:pt>
                <c:pt idx="3">
                  <c:v>3.9729999999999999</c:v>
                </c:pt>
                <c:pt idx="4">
                  <c:v>3.6240000000000001</c:v>
                </c:pt>
                <c:pt idx="5">
                  <c:v>3.3519999999999999</c:v>
                </c:pt>
                <c:pt idx="6">
                  <c:v>3.1320000000000001</c:v>
                </c:pt>
                <c:pt idx="7">
                  <c:v>2.9510000000000001</c:v>
                </c:pt>
                <c:pt idx="8">
                  <c:v>2.798</c:v>
                </c:pt>
                <c:pt idx="9">
                  <c:v>2.6680000000000001</c:v>
                </c:pt>
                <c:pt idx="10">
                  <c:v>2.5550000000000002</c:v>
                </c:pt>
                <c:pt idx="11">
                  <c:v>2.456</c:v>
                </c:pt>
                <c:pt idx="12">
                  <c:v>2.3690000000000002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D8-4B86-9BB6-F6C58726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967792"/>
        <c:axId val="1921265440"/>
      </c:scatterChart>
      <c:valAx>
        <c:axId val="1929967792"/>
        <c:scaling>
          <c:orientation val="minMax"/>
          <c:max val="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265440"/>
        <c:crosses val="autoZero"/>
        <c:crossBetween val="midCat"/>
      </c:valAx>
      <c:valAx>
        <c:axId val="1921265440"/>
        <c:scaling>
          <c:orientation val="minMax"/>
          <c:max val="6"/>
          <c:min val="4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967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liquid Cp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'Pankratz data'!$D$24</c:f>
              <c:strCache>
                <c:ptCount val="1"/>
                <c:pt idx="0">
                  <c:v>Cp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'Pankratz data'!$C$25:$C$31</c:f>
              <c:numCache>
                <c:formatCode>0.000</c:formatCode>
                <c:ptCount val="7"/>
                <c:pt idx="0">
                  <c:v>115.21000000000004</c:v>
                </c:pt>
                <c:pt idx="1">
                  <c:v>126.85000000000002</c:v>
                </c:pt>
                <c:pt idx="2">
                  <c:v>158.87</c:v>
                </c:pt>
                <c:pt idx="3">
                  <c:v>226.85000000000002</c:v>
                </c:pt>
                <c:pt idx="4">
                  <c:v>326.85000000000002</c:v>
                </c:pt>
                <c:pt idx="5">
                  <c:v>426.85</c:v>
                </c:pt>
                <c:pt idx="6">
                  <c:v>444.67399999999998</c:v>
                </c:pt>
              </c:numCache>
            </c:numRef>
          </c:xVal>
          <c:yVal>
            <c:numRef>
              <c:f>'Pankratz data'!$D$25:$D$31</c:f>
              <c:numCache>
                <c:formatCode>0.000</c:formatCode>
                <c:ptCount val="7"/>
                <c:pt idx="0">
                  <c:v>7.423</c:v>
                </c:pt>
                <c:pt idx="1">
                  <c:v>7.6870000000000003</c:v>
                </c:pt>
                <c:pt idx="2">
                  <c:v>12.86</c:v>
                </c:pt>
                <c:pt idx="3">
                  <c:v>9.0779999999999994</c:v>
                </c:pt>
                <c:pt idx="4">
                  <c:v>8.1999999999999993</c:v>
                </c:pt>
                <c:pt idx="5">
                  <c:v>7.7990000000000004</c:v>
                </c:pt>
                <c:pt idx="6">
                  <c:v>7.694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B8-42EC-A05A-875DBD786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197807"/>
        <c:axId val="412526495"/>
      </c:scatterChart>
      <c:valAx>
        <c:axId val="424197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526495"/>
        <c:crosses val="autoZero"/>
        <c:crossBetween val="midCat"/>
      </c:valAx>
      <c:valAx>
        <c:axId val="41252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97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Liquid</a:t>
            </a:r>
            <a:r>
              <a:rPr lang="en-US" baseline="0"/>
              <a:t> </a:t>
            </a:r>
            <a:r>
              <a:rPr lang="en-US"/>
              <a:t>Cp &amp; 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'Pankratz data'!$D$24</c:f>
              <c:strCache>
                <c:ptCount val="1"/>
                <c:pt idx="0">
                  <c:v>Cp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'Pankratz data'!$C$25:$C$31</c:f>
              <c:numCache>
                <c:formatCode>0.000</c:formatCode>
                <c:ptCount val="7"/>
                <c:pt idx="0">
                  <c:v>115.21000000000004</c:v>
                </c:pt>
                <c:pt idx="1">
                  <c:v>126.85000000000002</c:v>
                </c:pt>
                <c:pt idx="2">
                  <c:v>158.87</c:v>
                </c:pt>
                <c:pt idx="3">
                  <c:v>226.85000000000002</c:v>
                </c:pt>
                <c:pt idx="4">
                  <c:v>326.85000000000002</c:v>
                </c:pt>
                <c:pt idx="5">
                  <c:v>426.85</c:v>
                </c:pt>
                <c:pt idx="6">
                  <c:v>444.67399999999998</c:v>
                </c:pt>
              </c:numCache>
            </c:numRef>
          </c:xVal>
          <c:yVal>
            <c:numRef>
              <c:f>'Pankratz data'!$D$25:$D$31</c:f>
              <c:numCache>
                <c:formatCode>0.000</c:formatCode>
                <c:ptCount val="7"/>
                <c:pt idx="0">
                  <c:v>7.423</c:v>
                </c:pt>
                <c:pt idx="1">
                  <c:v>7.6870000000000003</c:v>
                </c:pt>
                <c:pt idx="2">
                  <c:v>12.86</c:v>
                </c:pt>
                <c:pt idx="3">
                  <c:v>9.0779999999999994</c:v>
                </c:pt>
                <c:pt idx="4">
                  <c:v>8.1999999999999993</c:v>
                </c:pt>
                <c:pt idx="5">
                  <c:v>7.7990000000000004</c:v>
                </c:pt>
                <c:pt idx="6">
                  <c:v>7.694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EA-451B-AE64-98CD1BFBA95A}"/>
            </c:ext>
          </c:extLst>
        </c:ser>
        <c:ser>
          <c:idx val="1"/>
          <c:order val="1"/>
          <c:tx>
            <c:strRef>
              <c:f>'Pankratz data'!$E$24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'Pankratz data'!$C$25:$C$31</c:f>
              <c:numCache>
                <c:formatCode>0.000</c:formatCode>
                <c:ptCount val="7"/>
                <c:pt idx="0">
                  <c:v>115.21000000000004</c:v>
                </c:pt>
                <c:pt idx="1">
                  <c:v>126.85000000000002</c:v>
                </c:pt>
                <c:pt idx="2">
                  <c:v>158.87</c:v>
                </c:pt>
                <c:pt idx="3">
                  <c:v>226.85000000000002</c:v>
                </c:pt>
                <c:pt idx="4">
                  <c:v>326.85000000000002</c:v>
                </c:pt>
                <c:pt idx="5">
                  <c:v>426.85</c:v>
                </c:pt>
                <c:pt idx="6">
                  <c:v>444.67399999999998</c:v>
                </c:pt>
              </c:numCache>
            </c:numRef>
          </c:xVal>
          <c:yVal>
            <c:numRef>
              <c:f>'Pankratz data'!$E$25:$E$31</c:f>
              <c:numCache>
                <c:formatCode>0.000</c:formatCode>
                <c:ptCount val="7"/>
                <c:pt idx="0">
                  <c:v>10.486000000000001</c:v>
                </c:pt>
                <c:pt idx="1">
                  <c:v>10.709</c:v>
                </c:pt>
                <c:pt idx="2">
                  <c:v>11.34</c:v>
                </c:pt>
                <c:pt idx="3">
                  <c:v>12.797000000000001</c:v>
                </c:pt>
                <c:pt idx="4">
                  <c:v>14.632</c:v>
                </c:pt>
                <c:pt idx="5">
                  <c:v>15.596</c:v>
                </c:pt>
                <c:pt idx="6">
                  <c:v>15.79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EA-451B-AE64-98CD1BFBA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8463"/>
        <c:axId val="415423455"/>
      </c:scatterChart>
      <c:valAx>
        <c:axId val="466088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423455"/>
        <c:crosses val="autoZero"/>
        <c:crossBetween val="midCat"/>
      </c:valAx>
      <c:valAx>
        <c:axId val="41542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088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liquid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'Pankratz data'!$D$24</c:f>
              <c:strCache>
                <c:ptCount val="1"/>
                <c:pt idx="0">
                  <c:v>Cp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'Pankratz data'!$C$25:$C$31</c:f>
              <c:numCache>
                <c:formatCode>0.000</c:formatCode>
                <c:ptCount val="7"/>
                <c:pt idx="0">
                  <c:v>115.21000000000004</c:v>
                </c:pt>
                <c:pt idx="1">
                  <c:v>126.85000000000002</c:v>
                </c:pt>
                <c:pt idx="2">
                  <c:v>158.87</c:v>
                </c:pt>
                <c:pt idx="3">
                  <c:v>226.85000000000002</c:v>
                </c:pt>
                <c:pt idx="4">
                  <c:v>326.85000000000002</c:v>
                </c:pt>
                <c:pt idx="5">
                  <c:v>426.85</c:v>
                </c:pt>
                <c:pt idx="6">
                  <c:v>444.67399999999998</c:v>
                </c:pt>
              </c:numCache>
            </c:numRef>
          </c:xVal>
          <c:yVal>
            <c:numRef>
              <c:f>'Pankratz data'!$D$25:$D$31</c:f>
              <c:numCache>
                <c:formatCode>0.000</c:formatCode>
                <c:ptCount val="7"/>
                <c:pt idx="0">
                  <c:v>7.423</c:v>
                </c:pt>
                <c:pt idx="1">
                  <c:v>7.6870000000000003</c:v>
                </c:pt>
                <c:pt idx="2">
                  <c:v>12.86</c:v>
                </c:pt>
                <c:pt idx="3">
                  <c:v>9.0779999999999994</c:v>
                </c:pt>
                <c:pt idx="4">
                  <c:v>8.1999999999999993</c:v>
                </c:pt>
                <c:pt idx="5">
                  <c:v>7.7990000000000004</c:v>
                </c:pt>
                <c:pt idx="6">
                  <c:v>7.694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CA-42B0-9AC7-C47B459EB2F8}"/>
            </c:ext>
          </c:extLst>
        </c:ser>
        <c:ser>
          <c:idx val="1"/>
          <c:order val="1"/>
          <c:tx>
            <c:strRef>
              <c:f>'Pankratz data'!$E$24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'Pankratz data'!$C$25:$C$31</c:f>
              <c:numCache>
                <c:formatCode>0.000</c:formatCode>
                <c:ptCount val="7"/>
                <c:pt idx="0">
                  <c:v>115.21000000000004</c:v>
                </c:pt>
                <c:pt idx="1">
                  <c:v>126.85000000000002</c:v>
                </c:pt>
                <c:pt idx="2">
                  <c:v>158.87</c:v>
                </c:pt>
                <c:pt idx="3">
                  <c:v>226.85000000000002</c:v>
                </c:pt>
                <c:pt idx="4">
                  <c:v>326.85000000000002</c:v>
                </c:pt>
                <c:pt idx="5">
                  <c:v>426.85</c:v>
                </c:pt>
                <c:pt idx="6">
                  <c:v>444.67399999999998</c:v>
                </c:pt>
              </c:numCache>
            </c:numRef>
          </c:xVal>
          <c:yVal>
            <c:numRef>
              <c:f>'Pankratz data'!$E$25:$E$31</c:f>
              <c:numCache>
                <c:formatCode>0.000</c:formatCode>
                <c:ptCount val="7"/>
                <c:pt idx="0">
                  <c:v>10.486000000000001</c:v>
                </c:pt>
                <c:pt idx="1">
                  <c:v>10.709</c:v>
                </c:pt>
                <c:pt idx="2">
                  <c:v>11.34</c:v>
                </c:pt>
                <c:pt idx="3">
                  <c:v>12.797000000000001</c:v>
                </c:pt>
                <c:pt idx="4">
                  <c:v>14.632</c:v>
                </c:pt>
                <c:pt idx="5">
                  <c:v>15.596</c:v>
                </c:pt>
                <c:pt idx="6">
                  <c:v>15.79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A-42B0-9AC7-C47B459EB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551759"/>
        <c:axId val="417057039"/>
      </c:scatterChart>
      <c:valAx>
        <c:axId val="476551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57039"/>
        <c:crosses val="autoZero"/>
        <c:crossBetween val="midCat"/>
      </c:valAx>
      <c:valAx>
        <c:axId val="41705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517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'Pankratz data'!$D$17</c:f>
              <c:strCache>
                <c:ptCount val="1"/>
                <c:pt idx="0">
                  <c:v>Cp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'Pankratz data'!$C$18:$C$21</c:f>
              <c:numCache>
                <c:formatCode>0.000</c:formatCode>
                <c:ptCount val="4"/>
                <c:pt idx="0">
                  <c:v>25</c:v>
                </c:pt>
                <c:pt idx="1">
                  <c:v>26.850000000000023</c:v>
                </c:pt>
                <c:pt idx="2">
                  <c:v>95.150000000000034</c:v>
                </c:pt>
                <c:pt idx="3">
                  <c:v>95.150000000000034</c:v>
                </c:pt>
              </c:numCache>
            </c:numRef>
          </c:xVal>
          <c:yVal>
            <c:numRef>
              <c:f>'Pankratz data'!$D$18:$D$21</c:f>
              <c:numCache>
                <c:formatCode>0.000</c:formatCode>
                <c:ptCount val="4"/>
                <c:pt idx="0">
                  <c:v>5.4249999999999998</c:v>
                </c:pt>
                <c:pt idx="1">
                  <c:v>5.4359999999999999</c:v>
                </c:pt>
                <c:pt idx="2">
                  <c:v>5.7949999999999999</c:v>
                </c:pt>
                <c:pt idx="3">
                  <c:v>5.9210000000000003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06-44B1-A113-A0CC66F35926}"/>
            </c:ext>
          </c:extLst>
        </c:ser>
        <c:ser>
          <c:idx val="1"/>
          <c:order val="1"/>
          <c:tx>
            <c:strRef>
              <c:f>'Pankratz data'!$E$17</c:f>
              <c:strCache>
                <c:ptCount val="1"/>
                <c:pt idx="0">
                  <c:v>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'Pankratz data'!$C$18:$C$21</c:f>
              <c:numCache>
                <c:formatCode>0.000</c:formatCode>
                <c:ptCount val="4"/>
                <c:pt idx="0">
                  <c:v>25</c:v>
                </c:pt>
                <c:pt idx="1">
                  <c:v>26.850000000000023</c:v>
                </c:pt>
                <c:pt idx="2">
                  <c:v>95.150000000000034</c:v>
                </c:pt>
                <c:pt idx="3">
                  <c:v>95.150000000000034</c:v>
                </c:pt>
              </c:numCache>
            </c:numRef>
          </c:xVal>
          <c:yVal>
            <c:numRef>
              <c:f>'Pankratz data'!$E$18:$E$21</c:f>
              <c:numCache>
                <c:formatCode>0.000</c:formatCode>
                <c:ptCount val="4"/>
                <c:pt idx="0">
                  <c:v>7.6609999999999996</c:v>
                </c:pt>
                <c:pt idx="1">
                  <c:v>7.6950000000000003</c:v>
                </c:pt>
                <c:pt idx="2">
                  <c:v>8.8460000000000001</c:v>
                </c:pt>
                <c:pt idx="3">
                  <c:v>9.1059999999999999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06-44B1-A113-A0CC66F35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875727"/>
        <c:axId val="1535395327"/>
      </c:scatterChart>
      <c:valAx>
        <c:axId val="153487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395327"/>
        <c:crosses val="autoZero"/>
        <c:crossBetween val="midCat"/>
      </c:valAx>
      <c:valAx>
        <c:axId val="153539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8757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16</xdr:row>
      <xdr:rowOff>123825</xdr:rowOff>
    </xdr:from>
    <xdr:to>
      <xdr:col>11</xdr:col>
      <xdr:colOff>180975</xdr:colOff>
      <xdr:row>46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5F82B5-4F1C-4F39-8715-143EAAA0C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46</xdr:row>
      <xdr:rowOff>95250</xdr:rowOff>
    </xdr:from>
    <xdr:to>
      <xdr:col>11</xdr:col>
      <xdr:colOff>180975</xdr:colOff>
      <xdr:row>71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10077B-A024-4EFA-A16F-00663892B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176210</xdr:colOff>
      <xdr:row>45</xdr:row>
      <xdr:rowOff>90486</xdr:rowOff>
    </xdr:from>
    <xdr:to>
      <xdr:col>21</xdr:col>
      <xdr:colOff>104774</xdr:colOff>
      <xdr:row>75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3E10973-E4EA-4EFC-ADD4-D5EDB0B61E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22</xdr:col>
      <xdr:colOff>114300</xdr:colOff>
      <xdr:row>46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2FB335-CF7D-4E47-96E1-025CD59B2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34</xdr:row>
      <xdr:rowOff>157162</xdr:rowOff>
    </xdr:from>
    <xdr:to>
      <xdr:col>7</xdr:col>
      <xdr:colOff>400050</xdr:colOff>
      <xdr:row>51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38C31A-9A76-4061-B42E-1650C27AD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133350</xdr:colOff>
      <xdr:row>35</xdr:row>
      <xdr:rowOff>71437</xdr:rowOff>
    </xdr:from>
    <xdr:to>
      <xdr:col>15</xdr:col>
      <xdr:colOff>438150</xdr:colOff>
      <xdr:row>52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5D43BB-72F0-41D4-BF16-23A3F73F4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595312</xdr:colOff>
      <xdr:row>18</xdr:row>
      <xdr:rowOff>4762</xdr:rowOff>
    </xdr:from>
    <xdr:to>
      <xdr:col>15</xdr:col>
      <xdr:colOff>290512</xdr:colOff>
      <xdr:row>34</xdr:row>
      <xdr:rowOff>157162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F88CDA0-8D65-4E98-BF70-B0727702D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604837</xdr:colOff>
      <xdr:row>0</xdr:row>
      <xdr:rowOff>66675</xdr:rowOff>
    </xdr:from>
    <xdr:to>
      <xdr:col>15</xdr:col>
      <xdr:colOff>300037</xdr:colOff>
      <xdr:row>17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71110D-CC66-433A-A349-82466E792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7C67-A05E-4563-9B98-15B838F37F14}">
  <dimension ref="B1:N18"/>
  <sheetViews>
    <sheetView workbookViewId="0"/>
  </sheetViews>
  <sheetFormatPr defaultRowHeight="12.75"/>
  <cols>
    <col min="3" max="3" width="8.85546875" bestFit="1" customWidth="1"/>
    <col min="4" max="4" width="10.28515625" bestFit="1" customWidth="1"/>
    <col min="5" max="5" width="9.85546875" bestFit="1" customWidth="1"/>
    <col min="6" max="6" width="10.140625" bestFit="1" customWidth="1"/>
    <col min="7" max="7" width="10.28515625" bestFit="1" customWidth="1"/>
    <col min="8" max="9" width="9.140625" customWidth="1"/>
    <col min="10" max="10" width="10.140625" bestFit="1" customWidth="1"/>
    <col min="11" max="11" width="8.85546875" bestFit="1" customWidth="1"/>
    <col min="12" max="12" width="11.5703125" bestFit="1" customWidth="1"/>
  </cols>
  <sheetData>
    <row r="1" spans="2:14">
      <c r="G1" s="18" t="s">
        <v>64</v>
      </c>
      <c r="H1" s="18" t="s">
        <v>64</v>
      </c>
      <c r="I1" s="18"/>
    </row>
    <row r="2" spans="2:14">
      <c r="C2" t="s">
        <v>64</v>
      </c>
      <c r="D2" t="s">
        <v>64</v>
      </c>
      <c r="E2" t="s">
        <v>64</v>
      </c>
      <c r="F2" t="s">
        <v>65</v>
      </c>
      <c r="G2" s="18" t="s">
        <v>97</v>
      </c>
      <c r="H2" s="18" t="s">
        <v>98</v>
      </c>
      <c r="I2" s="18"/>
      <c r="K2" t="s">
        <v>65</v>
      </c>
      <c r="L2" t="s">
        <v>64</v>
      </c>
    </row>
    <row r="3" spans="2:14">
      <c r="B3" t="s">
        <v>57</v>
      </c>
      <c r="C3" s="19" t="s">
        <v>66</v>
      </c>
      <c r="D3" s="19" t="s">
        <v>67</v>
      </c>
      <c r="E3" s="19" t="s">
        <v>69</v>
      </c>
      <c r="F3" s="18" t="s">
        <v>68</v>
      </c>
      <c r="G3" s="18" t="s">
        <v>95</v>
      </c>
      <c r="H3" s="18" t="s">
        <v>95</v>
      </c>
      <c r="J3" t="s">
        <v>57</v>
      </c>
      <c r="K3" t="s">
        <v>68</v>
      </c>
      <c r="L3" s="19" t="s">
        <v>66</v>
      </c>
    </row>
    <row r="4" spans="2:14">
      <c r="B4">
        <v>25</v>
      </c>
      <c r="C4" s="19">
        <v>5.9329999999999998</v>
      </c>
      <c r="D4" s="19">
        <v>5.8730000000000002</v>
      </c>
      <c r="E4" s="19">
        <v>5.8609999999999998</v>
      </c>
      <c r="F4">
        <v>5.8040000000000003</v>
      </c>
      <c r="G4" s="18">
        <f t="shared" ref="G4" si="0">D4-E4</f>
        <v>1.2000000000000455E-2</v>
      </c>
      <c r="H4" s="18">
        <f>C4-E4</f>
        <v>7.2000000000000064E-2</v>
      </c>
      <c r="I4" s="18"/>
      <c r="J4">
        <v>25</v>
      </c>
      <c r="K4">
        <v>5.8040000000000003</v>
      </c>
      <c r="L4" s="19">
        <v>5.9329999999999998</v>
      </c>
    </row>
    <row r="5" spans="2:14">
      <c r="B5">
        <v>100</v>
      </c>
      <c r="C5" s="19">
        <v>5.1219999999999999</v>
      </c>
      <c r="D5" s="19">
        <v>5.1120000000000001</v>
      </c>
      <c r="E5" s="19">
        <v>5.1130000000000004</v>
      </c>
      <c r="F5">
        <v>5.0529999999999999</v>
      </c>
      <c r="G5" s="18">
        <f>D5-E5</f>
        <v>-1.000000000000334E-3</v>
      </c>
      <c r="H5" s="18">
        <f t="shared" ref="H5:H16" si="1">C5-E5</f>
        <v>8.9999999999994529E-3</v>
      </c>
      <c r="I5" s="18"/>
      <c r="J5">
        <v>100</v>
      </c>
      <c r="K5">
        <v>5.0529999999999999</v>
      </c>
      <c r="L5" s="19">
        <v>5.1219999999999999</v>
      </c>
      <c r="N5" s="18" t="s">
        <v>94</v>
      </c>
    </row>
    <row r="6" spans="2:14">
      <c r="B6">
        <v>200</v>
      </c>
      <c r="C6" s="19">
        <v>4.375</v>
      </c>
      <c r="D6" s="19">
        <v>4.4279999999999999</v>
      </c>
      <c r="E6" s="19">
        <v>4.4420000000000002</v>
      </c>
      <c r="F6">
        <v>4.3479999999999999</v>
      </c>
      <c r="G6" s="18">
        <f t="shared" ref="G6:G16" si="2">D6-E6</f>
        <v>-1.4000000000000234E-2</v>
      </c>
      <c r="H6" s="18">
        <f t="shared" si="1"/>
        <v>-6.7000000000000171E-2</v>
      </c>
      <c r="I6" s="18"/>
      <c r="J6">
        <v>200</v>
      </c>
      <c r="K6">
        <v>4.3479999999999999</v>
      </c>
      <c r="L6" s="19">
        <v>4.375</v>
      </c>
    </row>
    <row r="7" spans="2:14">
      <c r="B7">
        <v>300</v>
      </c>
      <c r="C7" s="19">
        <v>3.827</v>
      </c>
      <c r="D7" s="19">
        <v>3.95</v>
      </c>
      <c r="E7" s="19">
        <v>3.9729999999999999</v>
      </c>
      <c r="F7">
        <v>3.8359999999999999</v>
      </c>
      <c r="G7" s="18">
        <f t="shared" si="2"/>
        <v>-2.2999999999999687E-2</v>
      </c>
      <c r="H7" s="18">
        <f t="shared" si="1"/>
        <v>-0.14599999999999991</v>
      </c>
      <c r="I7" s="18"/>
      <c r="J7">
        <v>300</v>
      </c>
      <c r="K7">
        <v>3.8359999999999999</v>
      </c>
      <c r="L7" s="19">
        <v>3.827</v>
      </c>
    </row>
    <row r="8" spans="2:14">
      <c r="B8">
        <v>400</v>
      </c>
      <c r="C8" s="19">
        <v>3.4089999999999998</v>
      </c>
      <c r="D8" s="19">
        <v>3.5939999999999999</v>
      </c>
      <c r="E8" s="19">
        <v>3.6240000000000001</v>
      </c>
      <c r="F8">
        <v>3.4390000000000001</v>
      </c>
      <c r="G8" s="18">
        <f t="shared" si="2"/>
        <v>-3.0000000000000249E-2</v>
      </c>
      <c r="H8" s="18">
        <f t="shared" si="1"/>
        <v>-0.2150000000000003</v>
      </c>
      <c r="I8" s="18"/>
      <c r="J8">
        <v>400</v>
      </c>
      <c r="K8">
        <v>3.4390000000000001</v>
      </c>
      <c r="L8" s="19">
        <v>3.4089999999999998</v>
      </c>
    </row>
    <row r="9" spans="2:14">
      <c r="B9">
        <v>500</v>
      </c>
      <c r="C9" s="19">
        <v>3.077</v>
      </c>
      <c r="D9" s="19">
        <v>3.3149999999999999</v>
      </c>
      <c r="E9" s="19">
        <v>3.3519999999999999</v>
      </c>
      <c r="F9">
        <v>3.1190000000000002</v>
      </c>
      <c r="G9" s="18">
        <f t="shared" si="2"/>
        <v>-3.6999999999999922E-2</v>
      </c>
      <c r="H9" s="18">
        <f t="shared" si="1"/>
        <v>-0.27499999999999991</v>
      </c>
      <c r="I9" s="18"/>
      <c r="J9">
        <v>500</v>
      </c>
      <c r="K9">
        <v>3.1190000000000002</v>
      </c>
      <c r="L9" s="19">
        <v>3.077</v>
      </c>
    </row>
    <row r="10" spans="2:14">
      <c r="B10">
        <v>600</v>
      </c>
      <c r="C10" s="19">
        <v>2.806</v>
      </c>
      <c r="D10" s="19">
        <v>3.09</v>
      </c>
      <c r="E10" s="19">
        <v>3.1320000000000001</v>
      </c>
      <c r="F10">
        <v>2.8530000000000002</v>
      </c>
      <c r="G10" s="18">
        <f t="shared" si="2"/>
        <v>-4.2000000000000259E-2</v>
      </c>
      <c r="H10" s="18">
        <f t="shared" si="1"/>
        <v>-0.32600000000000007</v>
      </c>
      <c r="I10" s="18"/>
      <c r="J10">
        <v>600</v>
      </c>
      <c r="K10">
        <v>2.8530000000000002</v>
      </c>
      <c r="L10" s="19">
        <v>2.806</v>
      </c>
    </row>
    <row r="11" spans="2:14">
      <c r="B11">
        <v>700</v>
      </c>
      <c r="C11" s="19">
        <v>2.5779999999999998</v>
      </c>
      <c r="D11" s="19">
        <v>2.9039999999999999</v>
      </c>
      <c r="E11" s="19">
        <v>2.9510000000000001</v>
      </c>
      <c r="F11">
        <v>2.6269999999999998</v>
      </c>
      <c r="G11" s="18">
        <f t="shared" si="2"/>
        <v>-4.7000000000000153E-2</v>
      </c>
      <c r="H11" s="18">
        <f t="shared" si="1"/>
        <v>-0.37300000000000022</v>
      </c>
      <c r="I11" s="18"/>
      <c r="J11">
        <v>700</v>
      </c>
      <c r="K11">
        <v>2.6269999999999998</v>
      </c>
      <c r="L11" s="19">
        <v>2.5779999999999998</v>
      </c>
    </row>
    <row r="12" spans="2:14">
      <c r="B12">
        <v>800</v>
      </c>
      <c r="C12" s="19">
        <v>2.383</v>
      </c>
      <c r="D12" s="19">
        <v>2.7469999999999999</v>
      </c>
      <c r="E12" s="19">
        <v>2.798</v>
      </c>
      <c r="F12">
        <v>2.4319999999999999</v>
      </c>
      <c r="G12" s="18">
        <f t="shared" si="2"/>
        <v>-5.1000000000000156E-2</v>
      </c>
      <c r="H12" s="18">
        <f t="shared" si="1"/>
        <v>-0.41500000000000004</v>
      </c>
      <c r="I12" s="18"/>
      <c r="J12">
        <v>800</v>
      </c>
      <c r="K12">
        <v>2.4319999999999999</v>
      </c>
      <c r="L12" s="19">
        <v>2.383</v>
      </c>
    </row>
    <row r="13" spans="2:14">
      <c r="B13">
        <v>900</v>
      </c>
      <c r="C13" s="19">
        <v>2.2149999999999999</v>
      </c>
      <c r="D13" s="19">
        <v>2.613</v>
      </c>
      <c r="E13" s="19">
        <v>2.6680000000000001</v>
      </c>
      <c r="F13">
        <v>2.2610000000000001</v>
      </c>
      <c r="G13" s="18">
        <f t="shared" si="2"/>
        <v>-5.500000000000016E-2</v>
      </c>
      <c r="H13" s="18">
        <f t="shared" si="1"/>
        <v>-0.45300000000000029</v>
      </c>
      <c r="I13" s="18"/>
      <c r="J13">
        <v>900</v>
      </c>
      <c r="K13">
        <v>2.2610000000000001</v>
      </c>
      <c r="L13" s="19">
        <v>2.2149999999999999</v>
      </c>
    </row>
    <row r="14" spans="2:14">
      <c r="B14">
        <v>1000</v>
      </c>
      <c r="C14" s="19">
        <v>2.0670000000000002</v>
      </c>
      <c r="D14" s="19">
        <v>2.4969999999999999</v>
      </c>
      <c r="E14" s="19">
        <v>2.5550000000000002</v>
      </c>
      <c r="F14">
        <v>2.11</v>
      </c>
      <c r="G14" s="18">
        <f t="shared" si="2"/>
        <v>-5.8000000000000274E-2</v>
      </c>
      <c r="H14" s="18">
        <f t="shared" si="1"/>
        <v>-0.48799999999999999</v>
      </c>
      <c r="I14" s="18"/>
      <c r="J14">
        <v>1000</v>
      </c>
      <c r="K14">
        <v>2.11</v>
      </c>
      <c r="L14" s="19">
        <v>2.0670000000000002</v>
      </c>
    </row>
    <row r="15" spans="2:14">
      <c r="B15">
        <v>1100</v>
      </c>
      <c r="C15" s="19">
        <v>1.9359999999999999</v>
      </c>
      <c r="D15" s="19">
        <v>2.395</v>
      </c>
      <c r="E15" s="19">
        <v>2.456</v>
      </c>
      <c r="F15">
        <v>1.9750000000000001</v>
      </c>
      <c r="G15" s="18">
        <f t="shared" si="2"/>
        <v>-6.0999999999999943E-2</v>
      </c>
      <c r="H15" s="18">
        <f t="shared" si="1"/>
        <v>-0.52</v>
      </c>
      <c r="I15" s="18"/>
      <c r="J15">
        <v>1100</v>
      </c>
      <c r="K15">
        <v>1.9750000000000001</v>
      </c>
      <c r="L15" s="19">
        <v>1.9359999999999999</v>
      </c>
    </row>
    <row r="16" spans="2:14">
      <c r="B16">
        <v>1200</v>
      </c>
      <c r="C16" s="19">
        <v>1.819</v>
      </c>
      <c r="D16" s="19">
        <v>2.3050000000000002</v>
      </c>
      <c r="E16" s="19">
        <v>2.3690000000000002</v>
      </c>
      <c r="F16">
        <v>1.8540000000000001</v>
      </c>
      <c r="G16" s="18">
        <f t="shared" si="2"/>
        <v>-6.4000000000000057E-2</v>
      </c>
      <c r="H16" s="18">
        <f t="shared" si="1"/>
        <v>-0.55000000000000027</v>
      </c>
      <c r="I16" s="18"/>
      <c r="J16">
        <v>1200</v>
      </c>
      <c r="K16">
        <v>1.8540000000000001</v>
      </c>
      <c r="L16" s="19">
        <v>1.819</v>
      </c>
    </row>
    <row r="17" spans="5:9">
      <c r="E17" s="19"/>
      <c r="F17" s="19"/>
      <c r="G17" s="19"/>
      <c r="H17" s="19"/>
      <c r="I17" s="19"/>
    </row>
    <row r="18" spans="5:9">
      <c r="E18" s="19"/>
      <c r="F18" s="19"/>
      <c r="G18" s="19"/>
      <c r="H18" s="19"/>
      <c r="I18" s="1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2D24-F86C-4474-9CF1-70B890252FA9}">
  <dimension ref="B2:C23"/>
  <sheetViews>
    <sheetView tabSelected="1" workbookViewId="0">
      <selection activeCell="B19" sqref="B19:B23"/>
    </sheetView>
  </sheetViews>
  <sheetFormatPr defaultRowHeight="12.75"/>
  <sheetData>
    <row r="2" spans="2:3">
      <c r="B2" t="s">
        <v>52</v>
      </c>
    </row>
    <row r="3" spans="2:3">
      <c r="B3" t="s">
        <v>53</v>
      </c>
    </row>
    <row r="5" spans="2:3">
      <c r="B5" t="s">
        <v>54</v>
      </c>
    </row>
    <row r="6" spans="2:3">
      <c r="B6" t="s">
        <v>55</v>
      </c>
    </row>
    <row r="7" spans="2:3">
      <c r="B7" t="s">
        <v>56</v>
      </c>
    </row>
    <row r="12" spans="2:3">
      <c r="B12" t="s">
        <v>63</v>
      </c>
    </row>
    <row r="13" spans="2:3">
      <c r="C13" t="s">
        <v>58</v>
      </c>
    </row>
    <row r="14" spans="2:3">
      <c r="C14" t="s">
        <v>59</v>
      </c>
    </row>
    <row r="15" spans="2:3">
      <c r="C15" t="s">
        <v>60</v>
      </c>
    </row>
    <row r="16" spans="2:3">
      <c r="C16" t="s">
        <v>61</v>
      </c>
    </row>
    <row r="17" spans="2:3">
      <c r="C17" t="s">
        <v>62</v>
      </c>
    </row>
    <row r="19" spans="2:3">
      <c r="B19" s="29" t="s">
        <v>124</v>
      </c>
    </row>
    <row r="20" spans="2:3">
      <c r="B20" s="29" t="s">
        <v>125</v>
      </c>
    </row>
    <row r="21" spans="2:3">
      <c r="B21" s="29" t="s">
        <v>126</v>
      </c>
    </row>
    <row r="22" spans="2:3">
      <c r="B22" s="29" t="s">
        <v>127</v>
      </c>
    </row>
    <row r="23" spans="2:3">
      <c r="B23" s="29" t="s">
        <v>128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E443-C7A6-42FB-9511-6B9EEBA1C4CD}">
  <dimension ref="A1:L32"/>
  <sheetViews>
    <sheetView workbookViewId="0"/>
  </sheetViews>
  <sheetFormatPr defaultRowHeight="12.75"/>
  <cols>
    <col min="1" max="1" width="16.85546875" customWidth="1"/>
    <col min="2" max="2" width="16.7109375" customWidth="1"/>
    <col min="3" max="3" width="7" bestFit="1" customWidth="1"/>
    <col min="4" max="5" width="12" bestFit="1" customWidth="1"/>
    <col min="6" max="6" width="11.5703125" bestFit="1" customWidth="1"/>
    <col min="7" max="7" width="12.5703125" bestFit="1" customWidth="1"/>
    <col min="8" max="8" width="12.42578125" bestFit="1" customWidth="1"/>
    <col min="9" max="10" width="12" bestFit="1" customWidth="1"/>
    <col min="11" max="11" width="4" customWidth="1"/>
    <col min="12" max="12" width="12.5703125" bestFit="1" customWidth="1"/>
    <col min="13" max="13" width="13.7109375" bestFit="1" customWidth="1"/>
    <col min="14" max="14" width="12.5703125" bestFit="1" customWidth="1"/>
    <col min="15" max="15" width="12.42578125" bestFit="1" customWidth="1"/>
    <col min="16" max="16" width="13.5703125" bestFit="1" customWidth="1"/>
    <col min="17" max="19" width="12.5703125" bestFit="1" customWidth="1"/>
    <col min="20" max="20" width="9.5703125" bestFit="1" customWidth="1"/>
  </cols>
  <sheetData>
    <row r="1" spans="1:12" ht="15.75">
      <c r="A1" s="2" t="s">
        <v>13</v>
      </c>
      <c r="B1" s="2" t="s">
        <v>12</v>
      </c>
      <c r="C1" s="3" t="s">
        <v>16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0</v>
      </c>
    </row>
    <row r="2" spans="1:12">
      <c r="A2" s="9" t="s">
        <v>2</v>
      </c>
      <c r="B2" s="9"/>
      <c r="D2" s="9"/>
      <c r="E2" s="9"/>
      <c r="F2" s="9"/>
      <c r="G2" s="9"/>
      <c r="H2" s="9"/>
    </row>
    <row r="3" spans="1:12">
      <c r="E3" s="13"/>
      <c r="F3" s="13"/>
      <c r="G3" s="14"/>
      <c r="H3" s="14"/>
      <c r="L3" t="s">
        <v>80</v>
      </c>
    </row>
    <row r="4" spans="1:12">
      <c r="A4" s="2" t="s">
        <v>14</v>
      </c>
      <c r="E4" s="15" t="s">
        <v>0</v>
      </c>
      <c r="F4" s="15" t="s">
        <v>4</v>
      </c>
      <c r="G4" s="16" t="s">
        <v>2</v>
      </c>
      <c r="H4" s="16" t="s">
        <v>3</v>
      </c>
    </row>
    <row r="5" spans="1:12">
      <c r="A5" s="9" t="s">
        <v>2</v>
      </c>
      <c r="E5" s="11">
        <v>0</v>
      </c>
      <c r="F5" s="11">
        <v>0</v>
      </c>
      <c r="G5" s="10">
        <v>7.66</v>
      </c>
      <c r="H5" s="10">
        <v>0</v>
      </c>
    </row>
    <row r="7" spans="1:12" ht="15.75">
      <c r="A7" s="2" t="s">
        <v>51</v>
      </c>
      <c r="C7" s="3"/>
      <c r="D7" s="3" t="s">
        <v>5</v>
      </c>
      <c r="E7" s="3" t="s">
        <v>6</v>
      </c>
      <c r="F7" s="3" t="s">
        <v>7</v>
      </c>
      <c r="G7" s="3" t="s">
        <v>9</v>
      </c>
      <c r="H7" s="3" t="s">
        <v>8</v>
      </c>
    </row>
    <row r="8" spans="1:12" ht="15.75">
      <c r="A8" s="9">
        <v>2500</v>
      </c>
      <c r="C8" s="3"/>
      <c r="D8" s="3">
        <v>1</v>
      </c>
      <c r="E8" s="3" t="s">
        <v>16</v>
      </c>
      <c r="F8" s="3" t="s">
        <v>17</v>
      </c>
      <c r="G8" s="3" t="s">
        <v>18</v>
      </c>
      <c r="H8" s="3" t="s">
        <v>19</v>
      </c>
      <c r="I8" s="8" t="s">
        <v>49</v>
      </c>
      <c r="J8" s="8"/>
    </row>
    <row r="9" spans="1:12">
      <c r="C9">
        <v>298.14999999999998</v>
      </c>
      <c r="D9" s="17">
        <v>13.527725</v>
      </c>
      <c r="E9" s="17">
        <f>-1.089149/1000</f>
        <v>-1.089149E-3</v>
      </c>
      <c r="F9" s="17">
        <f>1.524857*100000</f>
        <v>152485.69999999998</v>
      </c>
      <c r="G9" s="17">
        <v>-162.95410999999999</v>
      </c>
      <c r="H9" s="17"/>
      <c r="I9" s="4">
        <f>D9+E9*C9+F9*C9^-2+G9*C9^-0.5+H9*C9^2</f>
        <v>5.4810685830890389</v>
      </c>
    </row>
    <row r="12" spans="1:12" ht="15.75">
      <c r="D12" s="8" t="s">
        <v>49</v>
      </c>
      <c r="E12" s="8"/>
      <c r="G12" s="8" t="s">
        <v>16</v>
      </c>
      <c r="H12" s="8" t="s">
        <v>17</v>
      </c>
      <c r="I12" s="8" t="s">
        <v>18</v>
      </c>
    </row>
    <row r="13" spans="1:12">
      <c r="C13">
        <v>298.14999999999998</v>
      </c>
      <c r="D13" s="4">
        <f t="shared" ref="D13:D20" si="0">D$9+E$9*C13+F$9*C13^-2+G$9*C13^-0.5+H$9*C13^2</f>
        <v>5.4810685830890389</v>
      </c>
      <c r="E13" s="4"/>
      <c r="G13">
        <f t="shared" ref="G13:G20" si="1">C13</f>
        <v>298.14999999999998</v>
      </c>
      <c r="H13">
        <f t="shared" ref="H13:H20" si="2">C13^-2</f>
        <v>1.1249426244107095E-5</v>
      </c>
      <c r="I13">
        <f t="shared" ref="I13:I20" si="3">C13^-0.5</f>
        <v>5.791387083143839E-2</v>
      </c>
    </row>
    <row r="14" spans="1:12">
      <c r="C14">
        <v>300</v>
      </c>
      <c r="D14" s="4">
        <f t="shared" si="0"/>
        <v>5.487105928149969</v>
      </c>
      <c r="E14" s="4"/>
      <c r="G14">
        <f t="shared" si="1"/>
        <v>300</v>
      </c>
      <c r="H14">
        <f t="shared" si="2"/>
        <v>1.1111111111111112E-5</v>
      </c>
      <c r="I14">
        <f t="shared" si="3"/>
        <v>5.7735026918962568E-2</v>
      </c>
    </row>
    <row r="15" spans="1:12">
      <c r="C15">
        <v>400</v>
      </c>
      <c r="D15" s="4">
        <f t="shared" si="0"/>
        <v>5.8973955250000021</v>
      </c>
      <c r="E15" s="4"/>
      <c r="G15">
        <f t="shared" si="1"/>
        <v>400</v>
      </c>
      <c r="H15">
        <f t="shared" si="2"/>
        <v>6.2500000000000003E-6</v>
      </c>
      <c r="I15">
        <f t="shared" si="3"/>
        <v>0.05</v>
      </c>
    </row>
    <row r="16" spans="1:12">
      <c r="C16">
        <v>500</v>
      </c>
      <c r="D16" s="4">
        <f t="shared" si="0"/>
        <v>6.3055639565404364</v>
      </c>
      <c r="E16" s="4"/>
      <c r="G16">
        <f t="shared" si="1"/>
        <v>500</v>
      </c>
      <c r="H16">
        <f t="shared" si="2"/>
        <v>3.9999999999999998E-6</v>
      </c>
      <c r="I16">
        <f t="shared" si="3"/>
        <v>4.4721359549995794E-2</v>
      </c>
    </row>
    <row r="17" spans="1:10">
      <c r="C17">
        <v>600</v>
      </c>
      <c r="D17" s="4">
        <f t="shared" si="0"/>
        <v>6.6452333057328605</v>
      </c>
      <c r="E17" s="4"/>
      <c r="G17">
        <f t="shared" si="1"/>
        <v>600</v>
      </c>
      <c r="H17">
        <f t="shared" si="2"/>
        <v>2.7777777777777779E-6</v>
      </c>
      <c r="I17">
        <f t="shared" si="3"/>
        <v>4.0824829046386304E-2</v>
      </c>
    </row>
    <row r="18" spans="1:10">
      <c r="C18">
        <v>700</v>
      </c>
      <c r="D18" s="4">
        <f t="shared" si="0"/>
        <v>6.9174295750386863</v>
      </c>
      <c r="E18" s="4"/>
      <c r="G18">
        <f t="shared" si="1"/>
        <v>700</v>
      </c>
      <c r="H18">
        <f t="shared" si="2"/>
        <v>2.0408163265306121E-6</v>
      </c>
      <c r="I18">
        <f t="shared" si="3"/>
        <v>3.7796447300922721E-2</v>
      </c>
    </row>
    <row r="19" spans="1:10">
      <c r="C19">
        <v>800</v>
      </c>
      <c r="D19" s="4">
        <f t="shared" si="0"/>
        <v>7.1333668960890702</v>
      </c>
      <c r="E19" s="4"/>
      <c r="G19">
        <f t="shared" si="1"/>
        <v>800</v>
      </c>
      <c r="H19">
        <f t="shared" si="2"/>
        <v>1.5625000000000001E-6</v>
      </c>
      <c r="I19">
        <f t="shared" si="3"/>
        <v>3.5355339059327376E-2</v>
      </c>
    </row>
    <row r="20" spans="1:10">
      <c r="C20">
        <v>844</v>
      </c>
      <c r="D20" s="4">
        <f t="shared" si="0"/>
        <v>7.2134357476330706</v>
      </c>
      <c r="E20" s="4"/>
      <c r="G20">
        <f t="shared" si="1"/>
        <v>844</v>
      </c>
      <c r="H20">
        <f t="shared" si="2"/>
        <v>1.40383189955302E-6</v>
      </c>
      <c r="I20">
        <f t="shared" si="3"/>
        <v>3.4421419541075714E-2</v>
      </c>
    </row>
    <row r="22" spans="1:10" ht="15.75">
      <c r="D22" s="3" t="s">
        <v>5</v>
      </c>
      <c r="E22" s="3" t="s">
        <v>6</v>
      </c>
      <c r="F22" s="3" t="s">
        <v>7</v>
      </c>
      <c r="G22" s="3" t="s">
        <v>9</v>
      </c>
    </row>
    <row r="23" spans="1:10" ht="15.75">
      <c r="D23" s="3">
        <v>1</v>
      </c>
      <c r="E23" s="3" t="s">
        <v>16</v>
      </c>
      <c r="F23" s="3" t="s">
        <v>17</v>
      </c>
      <c r="G23" s="3" t="s">
        <v>18</v>
      </c>
      <c r="I23" s="3" t="s">
        <v>48</v>
      </c>
      <c r="J23" s="8" t="s">
        <v>49</v>
      </c>
    </row>
    <row r="24" spans="1:10">
      <c r="A24" s="2" t="s">
        <v>47</v>
      </c>
      <c r="D24">
        <f>M17</f>
        <v>0</v>
      </c>
      <c r="E24">
        <f>M18</f>
        <v>0</v>
      </c>
      <c r="F24">
        <f>+M19</f>
        <v>0</v>
      </c>
      <c r="G24">
        <f>M20</f>
        <v>0</v>
      </c>
    </row>
    <row r="25" spans="1:10">
      <c r="A25" s="2" t="s">
        <v>50</v>
      </c>
      <c r="C25">
        <v>298.14999999999998</v>
      </c>
      <c r="D25" s="12">
        <f>D24/4.184</f>
        <v>0</v>
      </c>
      <c r="E25" s="12">
        <f>E24/4.184*1000</f>
        <v>0</v>
      </c>
      <c r="F25" s="12">
        <f>F24/4.184/100000</f>
        <v>0</v>
      </c>
      <c r="G25" s="12">
        <f>G24/4.184</f>
        <v>0</v>
      </c>
      <c r="I25">
        <f t="shared" ref="I25:I32" si="4">J25*4.184</f>
        <v>0</v>
      </c>
      <c r="J25" s="4">
        <f t="shared" ref="J25:J32" si="5">$D$25+($E$25*0.001)*C25+($F$25*100000)*C25^-2+$G$25*C25^-0.5+$H$25*C25^2</f>
        <v>0</v>
      </c>
    </row>
    <row r="26" spans="1:10">
      <c r="C26">
        <v>300</v>
      </c>
      <c r="I26">
        <f t="shared" si="4"/>
        <v>0</v>
      </c>
      <c r="J26" s="4">
        <f t="shared" si="5"/>
        <v>0</v>
      </c>
    </row>
    <row r="27" spans="1:10">
      <c r="C27">
        <v>400</v>
      </c>
      <c r="I27">
        <f t="shared" si="4"/>
        <v>0</v>
      </c>
      <c r="J27" s="4">
        <f t="shared" si="5"/>
        <v>0</v>
      </c>
    </row>
    <row r="28" spans="1:10">
      <c r="C28">
        <v>500</v>
      </c>
      <c r="I28">
        <f t="shared" si="4"/>
        <v>0</v>
      </c>
      <c r="J28" s="4">
        <f t="shared" si="5"/>
        <v>0</v>
      </c>
    </row>
    <row r="29" spans="1:10">
      <c r="C29">
        <v>600</v>
      </c>
      <c r="I29">
        <f t="shared" si="4"/>
        <v>0</v>
      </c>
      <c r="J29" s="4">
        <f t="shared" si="5"/>
        <v>0</v>
      </c>
    </row>
    <row r="30" spans="1:10">
      <c r="C30">
        <v>700</v>
      </c>
      <c r="I30">
        <f t="shared" si="4"/>
        <v>0</v>
      </c>
      <c r="J30" s="4">
        <f t="shared" si="5"/>
        <v>0</v>
      </c>
    </row>
    <row r="31" spans="1:10">
      <c r="C31">
        <v>800</v>
      </c>
      <c r="I31">
        <f t="shared" si="4"/>
        <v>0</v>
      </c>
      <c r="J31" s="4">
        <f t="shared" si="5"/>
        <v>0</v>
      </c>
    </row>
    <row r="32" spans="1:10">
      <c r="C32">
        <v>844</v>
      </c>
      <c r="I32">
        <f t="shared" si="4"/>
        <v>0</v>
      </c>
      <c r="J32" s="4">
        <f t="shared" si="5"/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D0D0-7ABC-414D-83CE-46382B8DE95F}">
  <dimension ref="B1:H31"/>
  <sheetViews>
    <sheetView workbookViewId="0"/>
  </sheetViews>
  <sheetFormatPr defaultRowHeight="12.75"/>
  <cols>
    <col min="4" max="4" width="9.5703125" bestFit="1" customWidth="1"/>
  </cols>
  <sheetData>
    <row r="1" spans="2:8">
      <c r="B1" t="s">
        <v>70</v>
      </c>
      <c r="C1" t="s">
        <v>71</v>
      </c>
      <c r="D1" s="18" t="s">
        <v>72</v>
      </c>
      <c r="E1" s="18" t="s">
        <v>2</v>
      </c>
      <c r="F1" s="18" t="s">
        <v>73</v>
      </c>
    </row>
    <row r="2" spans="2:8">
      <c r="B2" s="13">
        <v>298.14999999999998</v>
      </c>
      <c r="C2" s="13">
        <f>B2-273.15</f>
        <v>25</v>
      </c>
      <c r="D2" s="13">
        <v>5.4249999999999998</v>
      </c>
      <c r="E2" s="13">
        <v>7.6609999999999996</v>
      </c>
      <c r="F2" s="13">
        <v>0</v>
      </c>
      <c r="G2" t="s">
        <v>83</v>
      </c>
      <c r="H2" t="s">
        <v>85</v>
      </c>
    </row>
    <row r="3" spans="2:8">
      <c r="B3" s="13">
        <v>300</v>
      </c>
      <c r="C3" s="13">
        <f t="shared" ref="C3:C15" si="0">B3-273.15</f>
        <v>26.850000000000023</v>
      </c>
      <c r="D3" s="13">
        <v>5.4359999999999999</v>
      </c>
      <c r="E3" s="13">
        <v>7.6950000000000003</v>
      </c>
      <c r="F3" s="13">
        <v>0.01</v>
      </c>
      <c r="G3" t="s">
        <v>83</v>
      </c>
      <c r="H3" t="s">
        <v>85</v>
      </c>
    </row>
    <row r="4" spans="2:8">
      <c r="B4" s="13">
        <v>368.3</v>
      </c>
      <c r="C4" s="13">
        <f t="shared" si="0"/>
        <v>95.150000000000034</v>
      </c>
      <c r="D4" s="13">
        <v>5.7949999999999999</v>
      </c>
      <c r="E4" s="13">
        <v>8.8460000000000001</v>
      </c>
      <c r="F4" s="20">
        <v>0.39400000000000002</v>
      </c>
      <c r="G4" t="s">
        <v>83</v>
      </c>
      <c r="H4" t="s">
        <v>85</v>
      </c>
    </row>
    <row r="5" spans="2:8">
      <c r="B5" s="13"/>
      <c r="C5" s="13"/>
      <c r="D5" s="13"/>
      <c r="E5" s="13"/>
      <c r="F5" s="20"/>
    </row>
    <row r="6" spans="2:8">
      <c r="B6" s="13">
        <v>368.3</v>
      </c>
      <c r="C6" s="13">
        <f t="shared" si="0"/>
        <v>95.150000000000034</v>
      </c>
      <c r="D6" s="13">
        <v>5.9210000000000003</v>
      </c>
      <c r="E6" s="13">
        <v>9.1059999999999999</v>
      </c>
      <c r="F6" s="13">
        <v>0.49</v>
      </c>
      <c r="G6" t="s">
        <v>83</v>
      </c>
      <c r="H6" t="s">
        <v>86</v>
      </c>
    </row>
    <row r="7" spans="2:8">
      <c r="B7" s="13">
        <v>388.36</v>
      </c>
      <c r="C7" s="13">
        <f t="shared" si="0"/>
        <v>115.21000000000004</v>
      </c>
      <c r="D7" s="13">
        <v>6.0149999999999997</v>
      </c>
      <c r="E7" s="13">
        <v>9.423</v>
      </c>
      <c r="F7" s="13">
        <v>0.60899999999999999</v>
      </c>
      <c r="G7" t="s">
        <v>83</v>
      </c>
      <c r="H7" t="s">
        <v>86</v>
      </c>
    </row>
    <row r="8" spans="2:8">
      <c r="B8" s="13"/>
      <c r="C8" s="13"/>
      <c r="D8" s="13"/>
      <c r="E8" s="13"/>
      <c r="F8" s="13"/>
    </row>
    <row r="9" spans="2:8">
      <c r="B9" s="13">
        <v>388.36</v>
      </c>
      <c r="C9" s="13">
        <f t="shared" si="0"/>
        <v>115.21000000000004</v>
      </c>
      <c r="D9" s="13">
        <v>7.423</v>
      </c>
      <c r="E9" s="13">
        <v>10.486000000000001</v>
      </c>
      <c r="F9" s="13">
        <v>1.022</v>
      </c>
      <c r="G9" t="s">
        <v>84</v>
      </c>
      <c r="H9" t="s">
        <v>5</v>
      </c>
    </row>
    <row r="10" spans="2:8">
      <c r="B10" s="13">
        <v>400</v>
      </c>
      <c r="C10" s="13">
        <f t="shared" si="0"/>
        <v>126.85000000000002</v>
      </c>
      <c r="D10" s="13">
        <v>7.6870000000000003</v>
      </c>
      <c r="E10" s="13">
        <v>10.709</v>
      </c>
      <c r="F10" s="13">
        <v>1.1100000000000001</v>
      </c>
      <c r="G10" t="s">
        <v>84</v>
      </c>
      <c r="H10" t="s">
        <v>5</v>
      </c>
    </row>
    <row r="11" spans="2:8">
      <c r="B11" s="13">
        <v>432.02</v>
      </c>
      <c r="C11" s="13">
        <f t="shared" si="0"/>
        <v>158.87</v>
      </c>
      <c r="D11" s="13">
        <v>12.86</v>
      </c>
      <c r="E11" s="13">
        <v>11.34</v>
      </c>
      <c r="F11" s="13">
        <v>1.373</v>
      </c>
      <c r="G11" t="s">
        <v>84</v>
      </c>
      <c r="H11" t="s">
        <v>87</v>
      </c>
    </row>
    <row r="12" spans="2:8">
      <c r="B12" s="13">
        <v>500</v>
      </c>
      <c r="C12" s="13">
        <f t="shared" si="0"/>
        <v>226.85000000000002</v>
      </c>
      <c r="D12" s="13">
        <v>9.0779999999999994</v>
      </c>
      <c r="E12" s="13">
        <v>12.797000000000001</v>
      </c>
      <c r="F12" s="13">
        <v>2.0470000000000002</v>
      </c>
      <c r="G12" t="s">
        <v>84</v>
      </c>
      <c r="H12" t="s">
        <v>6</v>
      </c>
    </row>
    <row r="13" spans="2:8">
      <c r="B13" s="13">
        <v>600</v>
      </c>
      <c r="C13" s="13">
        <f t="shared" si="0"/>
        <v>326.85000000000002</v>
      </c>
      <c r="D13" s="13">
        <v>8.1999999999999993</v>
      </c>
      <c r="E13" s="13">
        <v>14.632</v>
      </c>
      <c r="F13" s="13">
        <v>2.9039999999999999</v>
      </c>
      <c r="G13" t="s">
        <v>84</v>
      </c>
      <c r="H13" t="s">
        <v>6</v>
      </c>
    </row>
    <row r="14" spans="2:8">
      <c r="B14" s="13">
        <v>700</v>
      </c>
      <c r="C14" s="13">
        <f t="shared" si="0"/>
        <v>426.85</v>
      </c>
      <c r="D14" s="13">
        <v>7.7990000000000004</v>
      </c>
      <c r="E14" s="13">
        <v>15.596</v>
      </c>
      <c r="F14" s="13">
        <v>3.7040000000000002</v>
      </c>
      <c r="G14" t="s">
        <v>84</v>
      </c>
      <c r="H14" t="s">
        <v>6</v>
      </c>
    </row>
    <row r="15" spans="2:8">
      <c r="B15" s="13">
        <v>717.82399999999996</v>
      </c>
      <c r="C15" s="13">
        <f t="shared" si="0"/>
        <v>444.67399999999998</v>
      </c>
      <c r="D15" s="13">
        <v>7.694</v>
      </c>
      <c r="E15" s="13">
        <v>15.79</v>
      </c>
      <c r="F15" s="13">
        <v>3.8410000000000002</v>
      </c>
      <c r="G15" t="s">
        <v>84</v>
      </c>
      <c r="H15" t="s">
        <v>6</v>
      </c>
    </row>
    <row r="17" spans="2:6">
      <c r="B17" t="s">
        <v>70</v>
      </c>
      <c r="C17" t="s">
        <v>71</v>
      </c>
      <c r="D17" s="18" t="s">
        <v>72</v>
      </c>
      <c r="E17" s="18" t="s">
        <v>2</v>
      </c>
      <c r="F17" s="18" t="s">
        <v>73</v>
      </c>
    </row>
    <row r="18" spans="2:6">
      <c r="B18" s="13">
        <v>298.14999999999998</v>
      </c>
      <c r="C18" s="13">
        <f>B18-273.15</f>
        <v>25</v>
      </c>
      <c r="D18" s="13">
        <v>5.4249999999999998</v>
      </c>
      <c r="E18" s="13">
        <v>7.6609999999999996</v>
      </c>
      <c r="F18" s="13">
        <v>0</v>
      </c>
    </row>
    <row r="19" spans="2:6">
      <c r="B19" s="13">
        <v>300</v>
      </c>
      <c r="C19" s="13">
        <f t="shared" ref="C19:C31" si="1">B19-273.15</f>
        <v>26.850000000000023</v>
      </c>
      <c r="D19" s="13">
        <v>5.4359999999999999</v>
      </c>
      <c r="E19" s="13">
        <v>7.6950000000000003</v>
      </c>
      <c r="F19" s="13">
        <v>0.01</v>
      </c>
    </row>
    <row r="20" spans="2:6">
      <c r="B20" s="13">
        <v>368.3</v>
      </c>
      <c r="C20" s="13">
        <f t="shared" si="1"/>
        <v>95.150000000000034</v>
      </c>
      <c r="D20" s="13">
        <v>5.7949999999999999</v>
      </c>
      <c r="E20" s="13">
        <v>8.8460000000000001</v>
      </c>
      <c r="F20" s="20">
        <v>0.39400000000000002</v>
      </c>
    </row>
    <row r="21" spans="2:6">
      <c r="B21" s="13">
        <v>368.3</v>
      </c>
      <c r="C21" s="13">
        <f t="shared" si="1"/>
        <v>95.150000000000034</v>
      </c>
      <c r="D21" s="13">
        <v>5.9210000000000003</v>
      </c>
      <c r="E21" s="13">
        <v>9.1059999999999999</v>
      </c>
      <c r="F21" s="13">
        <v>0.49</v>
      </c>
    </row>
    <row r="22" spans="2:6">
      <c r="B22" s="13"/>
      <c r="C22" s="13"/>
      <c r="D22" s="13"/>
      <c r="E22" s="13"/>
      <c r="F22" s="13"/>
    </row>
    <row r="23" spans="2:6">
      <c r="B23" s="13"/>
      <c r="C23" s="13"/>
      <c r="D23" s="13"/>
      <c r="E23" s="13"/>
      <c r="F23" s="13"/>
    </row>
    <row r="24" spans="2:6">
      <c r="B24" t="s">
        <v>70</v>
      </c>
      <c r="C24" t="s">
        <v>71</v>
      </c>
      <c r="D24" s="18" t="s">
        <v>72</v>
      </c>
      <c r="E24" s="18" t="s">
        <v>2</v>
      </c>
      <c r="F24" s="18" t="s">
        <v>73</v>
      </c>
    </row>
    <row r="25" spans="2:6">
      <c r="B25" s="13">
        <v>388.36</v>
      </c>
      <c r="C25" s="13">
        <f t="shared" si="1"/>
        <v>115.21000000000004</v>
      </c>
      <c r="D25" s="13">
        <v>7.423</v>
      </c>
      <c r="E25" s="13">
        <v>10.486000000000001</v>
      </c>
      <c r="F25" s="13">
        <v>1.022</v>
      </c>
    </row>
    <row r="26" spans="2:6">
      <c r="B26" s="13">
        <v>400</v>
      </c>
      <c r="C26" s="13">
        <f t="shared" si="1"/>
        <v>126.85000000000002</v>
      </c>
      <c r="D26" s="13">
        <v>7.6870000000000003</v>
      </c>
      <c r="E26" s="13">
        <v>10.709</v>
      </c>
      <c r="F26" s="13">
        <v>1.1100000000000001</v>
      </c>
    </row>
    <row r="27" spans="2:6">
      <c r="B27" s="13">
        <v>432.02</v>
      </c>
      <c r="C27" s="13">
        <f t="shared" si="1"/>
        <v>158.87</v>
      </c>
      <c r="D27" s="13">
        <v>12.86</v>
      </c>
      <c r="E27" s="13">
        <v>11.34</v>
      </c>
      <c r="F27" s="13">
        <v>1.373</v>
      </c>
    </row>
    <row r="28" spans="2:6">
      <c r="B28" s="13">
        <v>500</v>
      </c>
      <c r="C28" s="13">
        <f t="shared" si="1"/>
        <v>226.85000000000002</v>
      </c>
      <c r="D28" s="13">
        <v>9.0779999999999994</v>
      </c>
      <c r="E28" s="13">
        <v>12.797000000000001</v>
      </c>
      <c r="F28" s="13">
        <v>2.0470000000000002</v>
      </c>
    </row>
    <row r="29" spans="2:6">
      <c r="B29" s="13">
        <v>600</v>
      </c>
      <c r="C29" s="13">
        <f t="shared" si="1"/>
        <v>326.85000000000002</v>
      </c>
      <c r="D29" s="13">
        <v>8.1999999999999993</v>
      </c>
      <c r="E29" s="13">
        <v>14.632</v>
      </c>
      <c r="F29" s="13">
        <v>2.9039999999999999</v>
      </c>
    </row>
    <row r="30" spans="2:6">
      <c r="B30" s="13">
        <v>700</v>
      </c>
      <c r="C30" s="13">
        <f t="shared" si="1"/>
        <v>426.85</v>
      </c>
      <c r="D30" s="13">
        <v>7.7990000000000004</v>
      </c>
      <c r="E30" s="13">
        <v>15.596</v>
      </c>
      <c r="F30" s="13">
        <v>3.7040000000000002</v>
      </c>
    </row>
    <row r="31" spans="2:6">
      <c r="B31" s="13">
        <v>717.82399999999996</v>
      </c>
      <c r="C31" s="13">
        <f t="shared" si="1"/>
        <v>444.67399999999998</v>
      </c>
      <c r="D31" s="13">
        <v>7.694</v>
      </c>
      <c r="E31" s="13">
        <v>15.79</v>
      </c>
      <c r="F31" s="13">
        <v>3.8410000000000002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45B0-EDF0-4855-AA53-A7DDE59DF941}">
  <dimension ref="A1:O27"/>
  <sheetViews>
    <sheetView workbookViewId="0"/>
  </sheetViews>
  <sheetFormatPr defaultRowHeight="12.75"/>
  <cols>
    <col min="1" max="1" width="23.42578125" bestFit="1" customWidth="1"/>
    <col min="2" max="2" width="7.5703125" bestFit="1" customWidth="1"/>
    <col min="3" max="3" width="11.7109375" customWidth="1"/>
    <col min="4" max="7" width="10.5703125" customWidth="1"/>
    <col min="9" max="9" width="19.28515625" bestFit="1" customWidth="1"/>
    <col min="10" max="10" width="13.7109375" bestFit="1" customWidth="1"/>
    <col min="11" max="11" width="12" customWidth="1"/>
    <col min="12" max="12" width="9.42578125" bestFit="1" customWidth="1"/>
    <col min="13" max="13" width="10" bestFit="1" customWidth="1"/>
    <col min="14" max="14" width="11.7109375" bestFit="1" customWidth="1"/>
  </cols>
  <sheetData>
    <row r="1" spans="1:15">
      <c r="A1" s="2" t="s">
        <v>101</v>
      </c>
      <c r="I1" s="2" t="s">
        <v>102</v>
      </c>
    </row>
    <row r="2" spans="1:15" ht="13.5" thickBot="1">
      <c r="A2" s="23" t="s">
        <v>88</v>
      </c>
      <c r="I2" s="2" t="s">
        <v>89</v>
      </c>
    </row>
    <row r="3" spans="1:15">
      <c r="A3" s="2" t="s">
        <v>76</v>
      </c>
      <c r="B3" s="2" t="s">
        <v>70</v>
      </c>
      <c r="C3" s="2" t="s">
        <v>72</v>
      </c>
      <c r="D3" s="2" t="s">
        <v>16</v>
      </c>
      <c r="E3" s="2" t="s">
        <v>17</v>
      </c>
      <c r="F3" s="6"/>
      <c r="G3" s="6" t="s">
        <v>37</v>
      </c>
      <c r="I3" s="2" t="s">
        <v>76</v>
      </c>
      <c r="J3" s="2" t="s">
        <v>70</v>
      </c>
      <c r="K3" s="2" t="s">
        <v>72</v>
      </c>
      <c r="L3" s="2" t="s">
        <v>16</v>
      </c>
      <c r="M3" s="2" t="s">
        <v>17</v>
      </c>
      <c r="N3" s="6"/>
      <c r="O3" s="6" t="s">
        <v>37</v>
      </c>
    </row>
    <row r="4" spans="1:15">
      <c r="A4" s="2" t="s">
        <v>79</v>
      </c>
      <c r="B4" s="13">
        <v>298.14999999999998</v>
      </c>
      <c r="C4" s="13">
        <v>5.4249999999999998</v>
      </c>
      <c r="D4">
        <f t="shared" ref="D4:D5" si="0">B4</f>
        <v>298.14999999999998</v>
      </c>
      <c r="E4">
        <f t="shared" ref="E4:E5" si="1">B4^-2</f>
        <v>1.1249426244107095E-5</v>
      </c>
      <c r="F4" t="s">
        <v>31</v>
      </c>
      <c r="G4">
        <v>4.8076130665555823</v>
      </c>
      <c r="I4" s="2" t="s">
        <v>79</v>
      </c>
      <c r="J4" s="13">
        <v>368.3</v>
      </c>
      <c r="K4" s="13">
        <v>5.9210000000000003</v>
      </c>
      <c r="L4">
        <f t="shared" ref="L4:L5" si="2">J4</f>
        <v>368.3</v>
      </c>
      <c r="M4">
        <f t="shared" ref="M4:M5" si="3">J4^-2</f>
        <v>7.3721907253564794E-6</v>
      </c>
      <c r="N4" t="s">
        <v>31</v>
      </c>
      <c r="O4">
        <v>4.1951674975074873</v>
      </c>
    </row>
    <row r="5" spans="1:15" ht="13.5" thickBot="1">
      <c r="B5" s="13">
        <v>300</v>
      </c>
      <c r="C5" s="13">
        <v>5.4359999999999999</v>
      </c>
      <c r="D5">
        <f t="shared" si="0"/>
        <v>300</v>
      </c>
      <c r="E5">
        <f t="shared" si="1"/>
        <v>1.1111111111111112E-5</v>
      </c>
      <c r="F5" t="s">
        <v>44</v>
      </c>
      <c r="G5">
        <v>3.370464508767539E-3</v>
      </c>
      <c r="J5" s="13">
        <v>388.36</v>
      </c>
      <c r="K5" s="13">
        <v>6.0149999999999997</v>
      </c>
      <c r="L5">
        <f t="shared" si="2"/>
        <v>388.36</v>
      </c>
      <c r="M5">
        <f t="shared" si="3"/>
        <v>6.6302669607506544E-6</v>
      </c>
      <c r="N5" s="5" t="s">
        <v>44</v>
      </c>
      <c r="O5" s="5">
        <v>4.6859421734795339E-3</v>
      </c>
    </row>
    <row r="6" spans="1:15" ht="13.5" thickBot="1">
      <c r="B6" s="13">
        <v>368.3</v>
      </c>
      <c r="C6" s="13">
        <v>5.7949999999999999</v>
      </c>
      <c r="D6">
        <f>B6</f>
        <v>368.3</v>
      </c>
      <c r="E6">
        <f>B6^-2</f>
        <v>7.3721907253564794E-6</v>
      </c>
      <c r="F6" s="5" t="s">
        <v>45</v>
      </c>
      <c r="G6" s="5">
        <v>-34447.717726725969</v>
      </c>
    </row>
    <row r="8" spans="1:15" ht="15.75">
      <c r="A8" s="2"/>
      <c r="B8" s="3"/>
      <c r="C8" s="22" t="s">
        <v>5</v>
      </c>
      <c r="D8" s="22" t="s">
        <v>6</v>
      </c>
      <c r="E8" s="22" t="s">
        <v>7</v>
      </c>
      <c r="I8" s="2"/>
      <c r="J8" s="3"/>
      <c r="K8" s="22" t="s">
        <v>5</v>
      </c>
      <c r="L8" s="22" t="s">
        <v>6</v>
      </c>
      <c r="M8" s="22" t="s">
        <v>7</v>
      </c>
    </row>
    <row r="9" spans="1:15" ht="15.75">
      <c r="A9" s="2"/>
      <c r="B9" s="3"/>
      <c r="C9" s="22">
        <v>1</v>
      </c>
      <c r="D9" s="22" t="s">
        <v>16</v>
      </c>
      <c r="E9" s="22" t="s">
        <v>17</v>
      </c>
      <c r="I9" s="2"/>
      <c r="J9" s="3"/>
      <c r="K9" s="22">
        <v>1</v>
      </c>
      <c r="L9" s="22" t="s">
        <v>16</v>
      </c>
      <c r="M9" s="22" t="s">
        <v>17</v>
      </c>
    </row>
    <row r="10" spans="1:15">
      <c r="A10" s="2" t="s">
        <v>77</v>
      </c>
      <c r="B10">
        <v>298.14999999999998</v>
      </c>
      <c r="C10" s="17">
        <v>4.8076130665555823</v>
      </c>
      <c r="D10" s="17">
        <v>3.370464508767539E-3</v>
      </c>
      <c r="E10" s="17">
        <v>-34447.717726725969</v>
      </c>
      <c r="I10" s="2" t="s">
        <v>77</v>
      </c>
      <c r="J10">
        <v>298.14999999999998</v>
      </c>
      <c r="K10" s="17">
        <v>4.1951674975074873</v>
      </c>
      <c r="L10" s="17">
        <v>4.6859421734795339E-3</v>
      </c>
      <c r="M10" s="17"/>
    </row>
    <row r="11" spans="1:15">
      <c r="A11" s="2"/>
      <c r="B11" s="2" t="s">
        <v>70</v>
      </c>
      <c r="C11" s="24" t="s">
        <v>81</v>
      </c>
      <c r="D11" s="2"/>
      <c r="E11" s="18"/>
      <c r="F11" t="s">
        <v>78</v>
      </c>
      <c r="I11" s="2"/>
      <c r="J11" s="2" t="s">
        <v>70</v>
      </c>
      <c r="K11" s="24" t="s">
        <v>81</v>
      </c>
      <c r="L11" s="2"/>
      <c r="M11" s="18"/>
      <c r="N11" t="s">
        <v>78</v>
      </c>
    </row>
    <row r="12" spans="1:15" ht="15">
      <c r="A12" s="2"/>
      <c r="B12" s="13">
        <v>298.14999999999998</v>
      </c>
      <c r="C12" s="21">
        <f t="shared" ref="C12:C13" si="4">C$10+D$10*B12+E$10*B12^-2</f>
        <v>5.4249999999999998</v>
      </c>
      <c r="D12" s="4"/>
      <c r="F12" s="13">
        <v>5.4249999999999998</v>
      </c>
      <c r="I12" s="2"/>
      <c r="J12" s="13">
        <v>368.3</v>
      </c>
      <c r="K12" s="21">
        <f>K$10+L$10*J12+M$10*J12^-2</f>
        <v>5.9209999999999994</v>
      </c>
      <c r="L12" s="4"/>
      <c r="N12" s="13">
        <v>5.9210000000000003</v>
      </c>
    </row>
    <row r="13" spans="1:15" ht="15">
      <c r="A13" s="2"/>
      <c r="B13" s="13">
        <v>300</v>
      </c>
      <c r="C13" s="21">
        <f t="shared" si="4"/>
        <v>5.4359999999999999</v>
      </c>
      <c r="D13" s="4"/>
      <c r="F13" s="13">
        <v>5.4359999999999999</v>
      </c>
      <c r="I13" s="2"/>
      <c r="J13" s="13">
        <v>388.36</v>
      </c>
      <c r="K13" s="21">
        <f>K$10+L$10*J13+M$10*J13^-2</f>
        <v>6.0149999999999988</v>
      </c>
      <c r="L13" s="4"/>
      <c r="N13" s="13">
        <v>6.0149999999999997</v>
      </c>
    </row>
    <row r="14" spans="1:15" ht="15">
      <c r="A14" s="2"/>
      <c r="B14" s="13">
        <v>368.3</v>
      </c>
      <c r="C14" s="21">
        <f>C$10+D$10*B14+E$10*B14^-2</f>
        <v>5.7949999999999999</v>
      </c>
      <c r="D14" s="4"/>
      <c r="F14" s="13">
        <v>5.7949999999999999</v>
      </c>
      <c r="I14" s="2"/>
      <c r="J14" s="13"/>
      <c r="L14" s="4"/>
      <c r="N14" s="13"/>
    </row>
    <row r="15" spans="1:15">
      <c r="A15" s="2"/>
      <c r="I15" s="2"/>
    </row>
    <row r="16" spans="1:15" ht="15.75">
      <c r="A16" s="2"/>
      <c r="B16" s="3"/>
      <c r="C16" s="22" t="s">
        <v>5</v>
      </c>
      <c r="D16" s="22" t="s">
        <v>6</v>
      </c>
      <c r="E16" s="22" t="s">
        <v>7</v>
      </c>
      <c r="I16" s="2"/>
      <c r="J16" s="3"/>
      <c r="K16" s="22" t="s">
        <v>5</v>
      </c>
      <c r="L16" s="22" t="s">
        <v>6</v>
      </c>
      <c r="M16" s="22" t="s">
        <v>7</v>
      </c>
    </row>
    <row r="17" spans="1:14" ht="15.75">
      <c r="A17" s="2"/>
      <c r="B17" s="3"/>
      <c r="C17" s="22">
        <v>1</v>
      </c>
      <c r="D17" s="22" t="s">
        <v>16</v>
      </c>
      <c r="E17" s="22" t="s">
        <v>17</v>
      </c>
      <c r="I17" s="2"/>
      <c r="J17" s="3"/>
      <c r="K17" s="22">
        <v>1</v>
      </c>
      <c r="L17" s="22" t="s">
        <v>16</v>
      </c>
      <c r="M17" s="22" t="s">
        <v>17</v>
      </c>
    </row>
    <row r="18" spans="1:14">
      <c r="A18" s="2" t="s">
        <v>82</v>
      </c>
      <c r="B18">
        <v>298.14999999999998</v>
      </c>
      <c r="C18" s="17">
        <v>8.1739999999999995</v>
      </c>
      <c r="D18" s="17">
        <v>-3.434E-3</v>
      </c>
      <c r="E18" s="17">
        <v>-155600</v>
      </c>
      <c r="I18" s="2" t="s">
        <v>82</v>
      </c>
      <c r="J18">
        <v>298.14999999999998</v>
      </c>
      <c r="K18" s="17">
        <v>5.9109999999999996</v>
      </c>
      <c r="L18" s="17">
        <v>5.8E-5</v>
      </c>
      <c r="M18" s="17"/>
    </row>
    <row r="19" spans="1:14">
      <c r="A19" s="23"/>
      <c r="B19" s="2" t="s">
        <v>70</v>
      </c>
      <c r="C19" s="22" t="s">
        <v>72</v>
      </c>
      <c r="D19" s="2"/>
      <c r="E19" s="18"/>
      <c r="F19" t="s">
        <v>78</v>
      </c>
      <c r="I19" s="2"/>
      <c r="J19" s="2" t="s">
        <v>70</v>
      </c>
      <c r="K19" s="22" t="s">
        <v>72</v>
      </c>
      <c r="L19" s="2"/>
      <c r="M19" s="18"/>
      <c r="N19" t="s">
        <v>78</v>
      </c>
    </row>
    <row r="20" spans="1:14" ht="15">
      <c r="A20" s="2"/>
      <c r="B20" s="13">
        <v>298.14999999999998</v>
      </c>
      <c r="C20" s="21">
        <f>C$18+D$18*B20+E$18*B20^-2</f>
        <v>5.3997421764169351</v>
      </c>
      <c r="D20" s="4"/>
      <c r="F20" s="13">
        <v>5.4249999999999998</v>
      </c>
      <c r="I20" s="2"/>
      <c r="J20" s="13">
        <v>368.3</v>
      </c>
      <c r="K20" s="21">
        <f>K$18+L$18*J20+M$18*J20^-2</f>
        <v>5.9323613999999996</v>
      </c>
      <c r="L20" s="4"/>
      <c r="N20" s="13">
        <v>5.9210000000000003</v>
      </c>
    </row>
    <row r="21" spans="1:14" ht="15">
      <c r="A21" s="2"/>
      <c r="B21" s="13">
        <v>300</v>
      </c>
      <c r="C21" s="21">
        <f>C$18+D$18*B21+E$18*B21^-2</f>
        <v>5.4149111111111106</v>
      </c>
      <c r="D21" s="4"/>
      <c r="F21" s="13">
        <v>5.4359999999999999</v>
      </c>
      <c r="I21" s="2"/>
      <c r="J21" s="13">
        <v>388.36</v>
      </c>
      <c r="K21" s="21">
        <f>K$18+L$18*J21+M$18*J21^-2</f>
        <v>5.9335248799999993</v>
      </c>
      <c r="L21" s="4"/>
      <c r="N21" s="13">
        <v>6.0149999999999997</v>
      </c>
    </row>
    <row r="22" spans="1:14" ht="15">
      <c r="A22" s="2"/>
      <c r="B22" s="13">
        <v>368.3</v>
      </c>
      <c r="C22" s="21">
        <f>C$18+D$18*B22+E$18*B22^-2</f>
        <v>5.7621449231345316</v>
      </c>
      <c r="D22" s="4"/>
      <c r="F22" s="13">
        <v>5.7949999999999999</v>
      </c>
      <c r="I22" s="2"/>
      <c r="J22" s="13"/>
      <c r="K22" s="4"/>
      <c r="L22" s="4"/>
      <c r="N22" s="13"/>
    </row>
    <row r="24" spans="1:14">
      <c r="C24" s="22" t="s">
        <v>5</v>
      </c>
      <c r="D24" s="22" t="s">
        <v>6</v>
      </c>
      <c r="E24" s="22" t="s">
        <v>7</v>
      </c>
      <c r="K24" s="22" t="s">
        <v>5</v>
      </c>
      <c r="L24" s="22" t="s">
        <v>6</v>
      </c>
    </row>
    <row r="25" spans="1:14">
      <c r="C25" s="22">
        <v>1</v>
      </c>
      <c r="D25" s="22" t="s">
        <v>16</v>
      </c>
      <c r="E25" s="22" t="s">
        <v>17</v>
      </c>
      <c r="K25" s="22">
        <v>1</v>
      </c>
      <c r="L25" s="22" t="s">
        <v>16</v>
      </c>
    </row>
    <row r="26" spans="1:14">
      <c r="A26" s="2" t="s">
        <v>103</v>
      </c>
      <c r="C26" s="18">
        <v>1</v>
      </c>
      <c r="D26">
        <v>1000</v>
      </c>
      <c r="E26">
        <f>1/100000</f>
        <v>1.0000000000000001E-5</v>
      </c>
      <c r="I26" s="2" t="s">
        <v>103</v>
      </c>
      <c r="K26" s="18">
        <v>1</v>
      </c>
      <c r="L26">
        <v>1000</v>
      </c>
    </row>
    <row r="27" spans="1:14">
      <c r="C27" s="28">
        <f>C18*C26</f>
        <v>8.1739999999999995</v>
      </c>
      <c r="D27" s="28">
        <f t="shared" ref="D27:E27" si="5">D18*D26</f>
        <v>-3.4340000000000002</v>
      </c>
      <c r="E27" s="28">
        <f t="shared" si="5"/>
        <v>-1.556</v>
      </c>
      <c r="K27" s="28">
        <f>K18*K26</f>
        <v>5.9109999999999996</v>
      </c>
      <c r="L27" s="28">
        <f t="shared" ref="L27" si="6">L18*L26</f>
        <v>5.8000000000000003E-2</v>
      </c>
      <c r="M27" s="27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5F52-97C5-4752-B8A7-19E37B9DEC91}">
  <dimension ref="A1:X45"/>
  <sheetViews>
    <sheetView workbookViewId="0"/>
  </sheetViews>
  <sheetFormatPr defaultRowHeight="12.75"/>
  <cols>
    <col min="1" max="1" width="19.28515625" style="2" bestFit="1" customWidth="1"/>
    <col min="2" max="2" width="7.5703125" bestFit="1" customWidth="1"/>
    <col min="3" max="3" width="10.5703125" bestFit="1" customWidth="1"/>
    <col min="4" max="4" width="9.42578125" bestFit="1" customWidth="1"/>
    <col min="5" max="5" width="12.42578125" bestFit="1" customWidth="1"/>
    <col min="6" max="6" width="11.7109375" bestFit="1" customWidth="1"/>
    <col min="7" max="7" width="13.5703125" bestFit="1" customWidth="1"/>
    <col min="9" max="9" width="19.28515625" bestFit="1" customWidth="1"/>
    <col min="10" max="10" width="7.5703125" bestFit="1" customWidth="1"/>
    <col min="11" max="11" width="10.5703125" bestFit="1" customWidth="1"/>
    <col min="12" max="12" width="9.42578125" bestFit="1" customWidth="1"/>
    <col min="13" max="13" width="12.42578125" bestFit="1" customWidth="1"/>
    <col min="14" max="14" width="11.7109375" bestFit="1" customWidth="1"/>
    <col min="15" max="15" width="12.5703125" bestFit="1" customWidth="1"/>
    <col min="18" max="21" width="13.42578125" customWidth="1"/>
    <col min="22" max="22" width="17.85546875" bestFit="1" customWidth="1"/>
    <col min="23" max="23" width="13.42578125" customWidth="1"/>
  </cols>
  <sheetData>
    <row r="1" spans="1:24" ht="13.5" thickBot="1">
      <c r="A1" s="23" t="s">
        <v>74</v>
      </c>
      <c r="I1" s="2" t="s">
        <v>75</v>
      </c>
      <c r="Q1" s="2" t="s">
        <v>75</v>
      </c>
    </row>
    <row r="2" spans="1:24" ht="12.75" customHeight="1">
      <c r="A2" s="2" t="s">
        <v>76</v>
      </c>
      <c r="B2" s="2" t="s">
        <v>70</v>
      </c>
      <c r="C2" s="22" t="s">
        <v>72</v>
      </c>
      <c r="D2" s="2" t="s">
        <v>16</v>
      </c>
      <c r="E2" s="2" t="s">
        <v>17</v>
      </c>
      <c r="F2" s="6"/>
      <c r="G2" s="6" t="s">
        <v>37</v>
      </c>
      <c r="I2" s="2" t="s">
        <v>76</v>
      </c>
      <c r="J2" s="2" t="s">
        <v>70</v>
      </c>
      <c r="K2" s="22" t="s">
        <v>72</v>
      </c>
      <c r="L2" s="2" t="s">
        <v>16</v>
      </c>
      <c r="M2" s="2" t="s">
        <v>17</v>
      </c>
      <c r="N2" s="6"/>
      <c r="O2" s="6" t="s">
        <v>37</v>
      </c>
      <c r="Q2" s="2" t="s">
        <v>76</v>
      </c>
      <c r="R2" s="2" t="s">
        <v>70</v>
      </c>
      <c r="S2" s="22" t="s">
        <v>72</v>
      </c>
      <c r="T2" s="2" t="s">
        <v>16</v>
      </c>
      <c r="U2" s="2" t="s">
        <v>17</v>
      </c>
      <c r="V2" s="22" t="s">
        <v>18</v>
      </c>
      <c r="W2" s="6"/>
      <c r="X2" s="6" t="s">
        <v>37</v>
      </c>
    </row>
    <row r="3" spans="1:24" ht="12.75" customHeight="1">
      <c r="A3" s="2" t="s">
        <v>79</v>
      </c>
      <c r="B3" s="13">
        <v>388.36</v>
      </c>
      <c r="C3" s="13">
        <v>7.423</v>
      </c>
      <c r="D3">
        <f t="shared" ref="D3:D4" si="0">B3</f>
        <v>388.36</v>
      </c>
      <c r="E3">
        <f t="shared" ref="E3:E4" si="1">B3^-2</f>
        <v>6.6302669607506544E-6</v>
      </c>
      <c r="F3" t="s">
        <v>31</v>
      </c>
      <c r="G3">
        <v>-559.42872442261455</v>
      </c>
      <c r="I3" s="2" t="s">
        <v>79</v>
      </c>
      <c r="J3" s="13">
        <v>388.36</v>
      </c>
      <c r="K3" s="22"/>
      <c r="L3" s="2"/>
      <c r="M3" s="2"/>
      <c r="N3" t="s">
        <v>31</v>
      </c>
      <c r="O3">
        <v>-18.623223178542275</v>
      </c>
      <c r="Q3" s="2" t="s">
        <v>79</v>
      </c>
      <c r="R3" s="13">
        <v>388.36</v>
      </c>
      <c r="S3" s="22"/>
      <c r="T3" s="2"/>
      <c r="U3" s="2"/>
      <c r="W3" t="s">
        <v>31</v>
      </c>
      <c r="X3">
        <v>588.35785556305348</v>
      </c>
    </row>
    <row r="4" spans="1:24" ht="12.75" customHeight="1">
      <c r="B4" s="13">
        <v>400</v>
      </c>
      <c r="C4" s="13">
        <v>7.6870000000000003</v>
      </c>
      <c r="D4">
        <f t="shared" si="0"/>
        <v>400</v>
      </c>
      <c r="E4">
        <f t="shared" si="1"/>
        <v>6.2500000000000003E-6</v>
      </c>
      <c r="F4" t="s">
        <v>44</v>
      </c>
      <c r="G4">
        <v>0.96641679545641501</v>
      </c>
      <c r="I4" s="2"/>
      <c r="J4" s="13">
        <v>400</v>
      </c>
      <c r="K4" s="22"/>
      <c r="L4" s="2"/>
      <c r="M4" s="2"/>
      <c r="N4" t="s">
        <v>44</v>
      </c>
      <c r="O4">
        <v>2.700229376065905E-2</v>
      </c>
      <c r="Q4" s="2"/>
      <c r="R4" s="13">
        <v>400</v>
      </c>
      <c r="S4" s="22"/>
      <c r="T4" s="2"/>
      <c r="U4" s="2"/>
      <c r="V4" s="26"/>
      <c r="W4" t="s">
        <v>44</v>
      </c>
      <c r="X4">
        <v>-0.21248760300262698</v>
      </c>
    </row>
    <row r="5" spans="1:24" ht="12.75" customHeight="1" thickBot="1">
      <c r="B5" s="13">
        <v>432.02</v>
      </c>
      <c r="C5" s="13">
        <v>12.86</v>
      </c>
      <c r="D5">
        <f>B5</f>
        <v>432.02</v>
      </c>
      <c r="E5">
        <f>B5^-2</f>
        <v>5.3578715161879054E-6</v>
      </c>
      <c r="F5" s="5" t="s">
        <v>45</v>
      </c>
      <c r="G5" s="5">
        <v>28887840.998407755</v>
      </c>
      <c r="I5" s="2"/>
      <c r="J5" s="13">
        <v>432.02</v>
      </c>
      <c r="K5" s="13">
        <v>12.86</v>
      </c>
      <c r="L5">
        <f>J5</f>
        <v>432.02</v>
      </c>
      <c r="M5">
        <f>J5^-2</f>
        <v>5.3578715161879054E-6</v>
      </c>
      <c r="N5" s="5" t="s">
        <v>45</v>
      </c>
      <c r="O5" s="5">
        <v>3666554.6882347185</v>
      </c>
      <c r="Q5" s="2"/>
      <c r="R5" s="13">
        <v>432.02</v>
      </c>
      <c r="S5" s="13">
        <v>12.86</v>
      </c>
      <c r="T5">
        <f>R5</f>
        <v>432.02</v>
      </c>
      <c r="U5">
        <f>R5^-2</f>
        <v>5.3578715161879054E-6</v>
      </c>
      <c r="V5" s="26">
        <f>R5^-0.5</f>
        <v>4.8111408755340965E-2</v>
      </c>
      <c r="W5" t="s">
        <v>45</v>
      </c>
      <c r="X5">
        <v>23880793.906651385</v>
      </c>
    </row>
    <row r="6" spans="1:24" ht="12.75" customHeight="1" thickBot="1">
      <c r="B6" s="13">
        <v>500</v>
      </c>
      <c r="C6" s="13"/>
      <c r="I6" s="2"/>
      <c r="J6" s="13">
        <v>500</v>
      </c>
      <c r="K6" s="13">
        <v>9.0779999999999994</v>
      </c>
      <c r="L6">
        <f>J6</f>
        <v>500</v>
      </c>
      <c r="M6">
        <f>J6^-2</f>
        <v>3.9999999999999998E-6</v>
      </c>
      <c r="Q6" s="2"/>
      <c r="R6" s="13">
        <v>500</v>
      </c>
      <c r="S6" s="13">
        <v>9.0779999999999994</v>
      </c>
      <c r="T6">
        <f>R6</f>
        <v>500</v>
      </c>
      <c r="U6">
        <f>R6^-2</f>
        <v>3.9999999999999998E-6</v>
      </c>
      <c r="V6" s="26">
        <f t="shared" ref="V6:V9" si="2">R6^-0.5</f>
        <v>4.4721359549995794E-2</v>
      </c>
      <c r="W6" s="5" t="s">
        <v>46</v>
      </c>
      <c r="X6" s="5">
        <v>-12713.220014129194</v>
      </c>
    </row>
    <row r="7" spans="1:24" ht="12.75" customHeight="1">
      <c r="B7" s="13">
        <v>600</v>
      </c>
      <c r="C7" s="13"/>
      <c r="I7" s="2"/>
      <c r="J7" s="13">
        <v>600</v>
      </c>
      <c r="K7" s="13">
        <v>8.1999999999999993</v>
      </c>
      <c r="L7">
        <f>J7</f>
        <v>600</v>
      </c>
      <c r="M7">
        <f>J7^-2</f>
        <v>2.7777777777777779E-6</v>
      </c>
      <c r="Q7" s="2"/>
      <c r="R7" s="13">
        <v>600</v>
      </c>
      <c r="S7" s="13">
        <v>8.1999999999999993</v>
      </c>
      <c r="T7">
        <f>R7</f>
        <v>600</v>
      </c>
      <c r="U7">
        <f>R7^-2</f>
        <v>2.7777777777777779E-6</v>
      </c>
      <c r="V7" s="26">
        <f t="shared" si="2"/>
        <v>4.0824829046386304E-2</v>
      </c>
    </row>
    <row r="8" spans="1:24" ht="12.75" customHeight="1">
      <c r="B8" s="13">
        <v>700</v>
      </c>
      <c r="C8" s="13"/>
      <c r="I8" s="2"/>
      <c r="J8" s="13">
        <v>700</v>
      </c>
      <c r="K8" s="13">
        <v>7.7990000000000004</v>
      </c>
      <c r="L8">
        <f>J8</f>
        <v>700</v>
      </c>
      <c r="M8">
        <f>J8^-2</f>
        <v>2.0408163265306121E-6</v>
      </c>
      <c r="Q8" s="2"/>
      <c r="R8" s="13">
        <v>700</v>
      </c>
      <c r="S8" s="13">
        <v>7.7990000000000004</v>
      </c>
      <c r="T8">
        <f>R8</f>
        <v>700</v>
      </c>
      <c r="U8">
        <f>R8^-2</f>
        <v>2.0408163265306121E-6</v>
      </c>
      <c r="V8" s="26">
        <f t="shared" si="2"/>
        <v>3.7796447300922721E-2</v>
      </c>
    </row>
    <row r="9" spans="1:24" ht="12.75" customHeight="1">
      <c r="B9" s="13">
        <v>717.82399999999996</v>
      </c>
      <c r="C9" s="13"/>
      <c r="I9" s="2"/>
      <c r="J9" s="13">
        <v>717.82399999999996</v>
      </c>
      <c r="K9" s="13">
        <v>7.694</v>
      </c>
      <c r="L9">
        <f>J9</f>
        <v>717.82399999999996</v>
      </c>
      <c r="M9">
        <f>J9^-2</f>
        <v>1.9407252252361111E-6</v>
      </c>
      <c r="Q9" s="2"/>
      <c r="R9" s="13">
        <v>717.82399999999996</v>
      </c>
      <c r="S9" s="13">
        <v>7.694</v>
      </c>
      <c r="T9">
        <f>R9</f>
        <v>717.82399999999996</v>
      </c>
      <c r="U9">
        <f>R9^-2</f>
        <v>1.9407252252361111E-6</v>
      </c>
      <c r="V9" s="26">
        <f t="shared" si="2"/>
        <v>3.7324243382550783E-2</v>
      </c>
    </row>
    <row r="10" spans="1:24" ht="12.75" customHeight="1">
      <c r="I10" s="2"/>
      <c r="Q10" s="2"/>
    </row>
    <row r="11" spans="1:24" ht="12.75" customHeight="1">
      <c r="B11" s="3"/>
      <c r="C11" s="22" t="s">
        <v>5</v>
      </c>
      <c r="D11" s="22" t="s">
        <v>6</v>
      </c>
      <c r="E11" s="22" t="s">
        <v>7</v>
      </c>
      <c r="I11" s="2"/>
      <c r="J11" s="3"/>
      <c r="K11" s="22" t="s">
        <v>5</v>
      </c>
      <c r="L11" s="22" t="s">
        <v>6</v>
      </c>
      <c r="M11" s="22" t="s">
        <v>7</v>
      </c>
      <c r="Q11" s="2"/>
      <c r="R11" s="3"/>
      <c r="S11" s="22" t="s">
        <v>5</v>
      </c>
      <c r="T11" s="22" t="s">
        <v>6</v>
      </c>
      <c r="U11" s="22" t="s">
        <v>7</v>
      </c>
      <c r="V11" s="22" t="s">
        <v>9</v>
      </c>
    </row>
    <row r="12" spans="1:24" ht="12.75" customHeight="1">
      <c r="B12" s="3"/>
      <c r="C12" s="22">
        <v>1</v>
      </c>
      <c r="D12" s="22" t="s">
        <v>16</v>
      </c>
      <c r="E12" s="22" t="s">
        <v>17</v>
      </c>
      <c r="I12" s="2"/>
      <c r="J12" s="3"/>
      <c r="K12" s="22">
        <v>1</v>
      </c>
      <c r="L12" s="22" t="s">
        <v>16</v>
      </c>
      <c r="M12" s="22" t="s">
        <v>17</v>
      </c>
      <c r="Q12" s="2"/>
      <c r="R12" s="3"/>
      <c r="S12" s="22">
        <v>1</v>
      </c>
      <c r="T12" s="22" t="s">
        <v>16</v>
      </c>
      <c r="U12" s="22" t="s">
        <v>17</v>
      </c>
      <c r="V12" s="22" t="s">
        <v>18</v>
      </c>
    </row>
    <row r="13" spans="1:24" ht="12.75" customHeight="1">
      <c r="A13" s="2" t="s">
        <v>77</v>
      </c>
      <c r="B13">
        <v>298.14999999999998</v>
      </c>
      <c r="C13" s="17">
        <v>-559.42872442261455</v>
      </c>
      <c r="D13" s="17">
        <v>0.96641679545641501</v>
      </c>
      <c r="E13" s="17">
        <v>28887840.998407755</v>
      </c>
      <c r="I13" s="2" t="s">
        <v>77</v>
      </c>
      <c r="J13">
        <v>298.14999999999998</v>
      </c>
      <c r="K13" s="17">
        <v>-18.623200000000001</v>
      </c>
      <c r="L13" s="17">
        <v>2.7002000000000002E-2</v>
      </c>
      <c r="M13" s="17">
        <v>3666555</v>
      </c>
      <c r="Q13" s="2" t="s">
        <v>77</v>
      </c>
      <c r="R13">
        <v>298.14999999999998</v>
      </c>
      <c r="S13" s="17">
        <v>588.35785556305348</v>
      </c>
      <c r="T13" s="17">
        <v>-0.21248760300262698</v>
      </c>
      <c r="U13" s="17">
        <v>23880793.906651385</v>
      </c>
      <c r="V13" s="17">
        <v>-12713.220014129194</v>
      </c>
    </row>
    <row r="14" spans="1:24" ht="12.75" customHeight="1">
      <c r="B14" s="2" t="s">
        <v>70</v>
      </c>
      <c r="C14" s="24" t="s">
        <v>81</v>
      </c>
      <c r="D14" s="2"/>
      <c r="E14" s="18"/>
      <c r="F14" t="s">
        <v>78</v>
      </c>
      <c r="I14" s="2"/>
      <c r="J14" s="2" t="s">
        <v>70</v>
      </c>
      <c r="K14" s="24" t="s">
        <v>81</v>
      </c>
      <c r="L14" s="2"/>
      <c r="M14" s="18"/>
      <c r="N14" t="s">
        <v>78</v>
      </c>
      <c r="Q14" s="2"/>
      <c r="R14" s="2" t="s">
        <v>70</v>
      </c>
      <c r="S14" s="24" t="s">
        <v>81</v>
      </c>
      <c r="T14" s="2"/>
      <c r="U14" s="18"/>
      <c r="V14" t="s">
        <v>78</v>
      </c>
    </row>
    <row r="15" spans="1:24" ht="12.75" customHeight="1">
      <c r="B15" s="13">
        <v>388.36</v>
      </c>
      <c r="C15" s="21">
        <f t="shared" ref="C15:C16" si="3">C$13+D$13*B15+E$13*B15^-2</f>
        <v>7.4229999999999166</v>
      </c>
      <c r="D15" s="4"/>
      <c r="F15" s="13">
        <v>7.423</v>
      </c>
      <c r="I15" s="2"/>
      <c r="J15" s="13">
        <v>388.36</v>
      </c>
      <c r="K15" s="4">
        <f t="shared" ref="K15:K21" si="4">K$13+L$13*J15+M$13*J15^-2</f>
        <v>16.173535196275118</v>
      </c>
      <c r="L15" s="4"/>
      <c r="N15" s="13">
        <v>7.423</v>
      </c>
      <c r="Q15" s="2"/>
      <c r="R15" s="13">
        <v>388.36</v>
      </c>
      <c r="S15" s="4">
        <f>S$13+T$13*R15+U$13*R15^-2+V$13*R15^-0.5</f>
        <v>19.055461081242584</v>
      </c>
      <c r="T15" s="4"/>
      <c r="V15" s="13">
        <v>7.423</v>
      </c>
    </row>
    <row r="16" spans="1:24" ht="12.75" customHeight="1">
      <c r="B16" s="13">
        <v>400</v>
      </c>
      <c r="C16" s="21">
        <f t="shared" si="3"/>
        <v>7.6869999999998981</v>
      </c>
      <c r="D16" s="4"/>
      <c r="F16" s="13">
        <v>7.6870000000000003</v>
      </c>
      <c r="I16" s="2"/>
      <c r="J16" s="13">
        <v>400</v>
      </c>
      <c r="K16" s="4">
        <f t="shared" si="4"/>
        <v>15.093568750000001</v>
      </c>
      <c r="L16" s="4"/>
      <c r="N16" s="13">
        <v>7.6870000000000003</v>
      </c>
      <c r="Q16" s="2"/>
      <c r="R16" s="13">
        <v>400</v>
      </c>
      <c r="S16" s="4">
        <f t="shared" ref="S16:S21" si="5">S$13+T$13*R16+U$13*R16^-2+V$13*R16^-0.5</f>
        <v>16.956775572114111</v>
      </c>
      <c r="T16" s="4"/>
      <c r="V16" s="13">
        <v>7.6870000000000003</v>
      </c>
    </row>
    <row r="17" spans="1:22" ht="12.75" customHeight="1">
      <c r="B17" s="13">
        <v>432.02</v>
      </c>
      <c r="C17" s="21">
        <f>C$13+D$13*B17+E$13*B17^-2</f>
        <v>12.859999999999928</v>
      </c>
      <c r="D17" s="4"/>
      <c r="F17" s="13">
        <v>12.86</v>
      </c>
      <c r="I17" s="2"/>
      <c r="J17" s="13">
        <v>432.02</v>
      </c>
      <c r="K17" s="21">
        <f t="shared" si="4"/>
        <v>12.687134637036346</v>
      </c>
      <c r="L17" s="4"/>
      <c r="N17" s="13">
        <v>12.86</v>
      </c>
      <c r="Q17" s="2"/>
      <c r="R17" s="13">
        <v>432.02</v>
      </c>
      <c r="S17" s="21">
        <f t="shared" si="5"/>
        <v>12.858262073908463</v>
      </c>
      <c r="T17" s="4"/>
      <c r="V17" s="13">
        <v>12.86</v>
      </c>
    </row>
    <row r="18" spans="1:22" ht="12.75" customHeight="1">
      <c r="B18" s="13">
        <v>500</v>
      </c>
      <c r="C18" s="4">
        <f t="shared" ref="C18:C21" si="6">C$13+D$13*B18+E$13*B18^-2</f>
        <v>39.331037299223965</v>
      </c>
      <c r="D18" s="4"/>
      <c r="F18" s="13">
        <v>9.0779999999999994</v>
      </c>
      <c r="I18" s="2"/>
      <c r="J18" s="13">
        <v>500</v>
      </c>
      <c r="K18" s="21">
        <f t="shared" si="4"/>
        <v>9.5440199999999997</v>
      </c>
      <c r="L18" s="4"/>
      <c r="N18" s="13">
        <v>9.0779999999999994</v>
      </c>
      <c r="Q18" s="2"/>
      <c r="R18" s="13">
        <v>500</v>
      </c>
      <c r="S18" s="21">
        <f t="shared" si="5"/>
        <v>9.0847463982712497</v>
      </c>
      <c r="T18" s="4"/>
      <c r="V18" s="13">
        <v>9.0779999999999994</v>
      </c>
    </row>
    <row r="19" spans="1:22" ht="12.75" customHeight="1">
      <c r="B19" s="13">
        <v>600</v>
      </c>
      <c r="C19" s="4">
        <f t="shared" si="6"/>
        <v>100.66535562458935</v>
      </c>
      <c r="D19" s="4"/>
      <c r="F19" s="13">
        <v>8.1999999999999993</v>
      </c>
      <c r="I19" s="2"/>
      <c r="J19" s="13">
        <v>600</v>
      </c>
      <c r="K19" s="21">
        <f t="shared" si="4"/>
        <v>7.7628749999999993</v>
      </c>
      <c r="L19" s="4"/>
      <c r="N19" s="13">
        <v>8.1999999999999993</v>
      </c>
      <c r="Q19" s="2"/>
      <c r="R19" s="13">
        <v>600</v>
      </c>
      <c r="S19" s="21">
        <f t="shared" si="5"/>
        <v>8.1857986851432543</v>
      </c>
      <c r="T19" s="4"/>
      <c r="V19" s="13">
        <v>8.1999999999999993</v>
      </c>
    </row>
    <row r="20" spans="1:22" ht="12.75" customHeight="1">
      <c r="B20" s="13">
        <v>700</v>
      </c>
      <c r="C20" s="4">
        <f t="shared" si="6"/>
        <v>176.01780994464693</v>
      </c>
      <c r="D20" s="4"/>
      <c r="F20" s="13">
        <v>7.7990000000000004</v>
      </c>
      <c r="I20" s="2"/>
      <c r="J20" s="13">
        <v>700</v>
      </c>
      <c r="K20" s="21">
        <f t="shared" si="4"/>
        <v>7.7609653061224497</v>
      </c>
      <c r="L20" s="4"/>
      <c r="N20" s="13">
        <v>7.7990000000000004</v>
      </c>
      <c r="Q20" s="2"/>
      <c r="R20" s="13">
        <v>700</v>
      </c>
      <c r="S20" s="21">
        <f t="shared" si="5"/>
        <v>7.8382972673514359</v>
      </c>
      <c r="T20" s="4"/>
      <c r="V20" s="13">
        <v>7.7990000000000004</v>
      </c>
    </row>
    <row r="21" spans="1:22" ht="12.75" customHeight="1">
      <c r="B21" s="13">
        <v>717.82399999999996</v>
      </c>
      <c r="C21" s="4">
        <f t="shared" si="6"/>
        <v>190.3518070873109</v>
      </c>
      <c r="D21" s="4"/>
      <c r="F21" s="13">
        <v>7.694</v>
      </c>
      <c r="I21" s="2"/>
      <c r="J21" s="13">
        <v>717.82399999999996</v>
      </c>
      <c r="K21" s="21">
        <f t="shared" si="4"/>
        <v>7.8752594262155888</v>
      </c>
      <c r="L21" s="4"/>
      <c r="N21" s="13">
        <v>7.694</v>
      </c>
      <c r="Q21" s="2"/>
      <c r="R21" s="13">
        <v>717.82399999999996</v>
      </c>
      <c r="S21" s="21">
        <f t="shared" si="5"/>
        <v>7.6638955753251707</v>
      </c>
      <c r="T21" s="4"/>
      <c r="V21" s="13">
        <v>7.694</v>
      </c>
    </row>
    <row r="22" spans="1:22" ht="12.75" customHeight="1">
      <c r="I22" s="2"/>
    </row>
    <row r="23" spans="1:22" ht="12.75" customHeight="1">
      <c r="B23" s="3"/>
      <c r="C23" s="22" t="s">
        <v>5</v>
      </c>
      <c r="D23" s="22" t="s">
        <v>6</v>
      </c>
      <c r="E23" s="22" t="s">
        <v>7</v>
      </c>
      <c r="I23" s="2"/>
      <c r="J23" s="3"/>
      <c r="K23" s="22" t="s">
        <v>5</v>
      </c>
      <c r="L23" s="22" t="s">
        <v>6</v>
      </c>
      <c r="M23" s="22" t="s">
        <v>7</v>
      </c>
    </row>
    <row r="24" spans="1:22" ht="12.75" customHeight="1">
      <c r="B24" s="3"/>
      <c r="C24" s="22">
        <v>1</v>
      </c>
      <c r="D24" s="22" t="s">
        <v>16</v>
      </c>
      <c r="E24" s="22" t="s">
        <v>17</v>
      </c>
      <c r="I24" s="2"/>
      <c r="J24" s="3"/>
      <c r="K24" s="22">
        <v>1</v>
      </c>
      <c r="L24" s="22" t="s">
        <v>16</v>
      </c>
      <c r="M24" s="22" t="s">
        <v>17</v>
      </c>
    </row>
    <row r="25" spans="1:22" ht="12.75" customHeight="1">
      <c r="A25" s="2" t="s">
        <v>82</v>
      </c>
      <c r="B25">
        <v>298.14999999999998</v>
      </c>
      <c r="C25" s="17">
        <v>-38.829000000000001</v>
      </c>
      <c r="D25" s="17">
        <v>8.6622000000000005E-2</v>
      </c>
      <c r="E25" s="17">
        <v>1902200</v>
      </c>
      <c r="I25" s="2" t="s">
        <v>82</v>
      </c>
      <c r="J25">
        <v>298.14999999999998</v>
      </c>
      <c r="K25" s="17">
        <v>-34.923000000000002</v>
      </c>
      <c r="L25" s="17">
        <v>4.6997999999999998E-2</v>
      </c>
      <c r="M25" s="17">
        <v>5128700</v>
      </c>
    </row>
    <row r="26" spans="1:22" ht="12.75" customHeight="1">
      <c r="A26" s="23"/>
      <c r="B26" s="2" t="s">
        <v>70</v>
      </c>
      <c r="C26" s="22" t="s">
        <v>72</v>
      </c>
      <c r="D26" s="2"/>
      <c r="E26" s="18"/>
      <c r="I26" s="2"/>
      <c r="J26" s="2" t="s">
        <v>70</v>
      </c>
      <c r="K26" s="22" t="s">
        <v>72</v>
      </c>
      <c r="L26" s="2"/>
      <c r="M26" s="18"/>
    </row>
    <row r="27" spans="1:22" ht="12.75" customHeight="1">
      <c r="B27" s="13">
        <v>388.36</v>
      </c>
      <c r="C27" s="21">
        <f t="shared" ref="C27:C33" si="7">C$25+D$25*B27+E$25*B27^-2</f>
        <v>7.4236137327398968</v>
      </c>
      <c r="D27" s="4"/>
      <c r="F27" s="13">
        <v>7.423</v>
      </c>
      <c r="I27" s="2"/>
      <c r="J27" s="13">
        <v>388.36</v>
      </c>
      <c r="K27" s="4">
        <f t="shared" ref="K27:K33" si="8">K$25+L$25*J27+M$25*J27^-2</f>
        <v>17.333793441601877</v>
      </c>
      <c r="L27" s="4"/>
      <c r="N27" s="13">
        <v>7.423</v>
      </c>
    </row>
    <row r="28" spans="1:22" ht="12.75" customHeight="1">
      <c r="B28" s="13">
        <v>400</v>
      </c>
      <c r="C28" s="21">
        <f t="shared" si="7"/>
        <v>7.7085500000000007</v>
      </c>
      <c r="D28" s="4"/>
      <c r="F28" s="13">
        <v>7.6870000000000003</v>
      </c>
      <c r="I28" s="2"/>
      <c r="J28" s="13">
        <v>400</v>
      </c>
      <c r="K28" s="4">
        <f t="shared" si="8"/>
        <v>15.930574999999997</v>
      </c>
      <c r="L28" s="4"/>
      <c r="N28" s="13">
        <v>7.6870000000000003</v>
      </c>
    </row>
    <row r="29" spans="1:22" ht="12.75" customHeight="1">
      <c r="B29" s="13">
        <v>432.02</v>
      </c>
      <c r="C29" s="21">
        <f t="shared" si="7"/>
        <v>8.7851796380926306</v>
      </c>
      <c r="D29" s="4"/>
      <c r="F29" s="13">
        <v>12.86</v>
      </c>
      <c r="I29" s="2"/>
      <c r="J29" s="13">
        <v>432.02</v>
      </c>
      <c r="K29" s="21">
        <f t="shared" si="8"/>
        <v>12.859991605072906</v>
      </c>
      <c r="L29" s="4"/>
      <c r="N29" s="13">
        <v>12.86</v>
      </c>
    </row>
    <row r="30" spans="1:22" ht="12.75" customHeight="1">
      <c r="B30" s="13">
        <v>500</v>
      </c>
      <c r="C30" s="4">
        <f t="shared" si="7"/>
        <v>12.090799999999998</v>
      </c>
      <c r="D30" s="4"/>
      <c r="F30" s="13">
        <v>9.0779999999999994</v>
      </c>
      <c r="I30" s="2"/>
      <c r="J30" s="13">
        <v>500</v>
      </c>
      <c r="K30" s="21">
        <f t="shared" si="8"/>
        <v>9.0907999999999944</v>
      </c>
      <c r="L30" s="4"/>
      <c r="N30" s="13">
        <v>9.0779999999999994</v>
      </c>
    </row>
    <row r="31" spans="1:22" ht="12.75" customHeight="1">
      <c r="B31" s="13">
        <v>600</v>
      </c>
      <c r="C31" s="4">
        <f t="shared" si="7"/>
        <v>18.428088888888894</v>
      </c>
      <c r="D31" s="4"/>
      <c r="F31" s="13">
        <v>8.1999999999999993</v>
      </c>
      <c r="I31" s="2"/>
      <c r="J31" s="13">
        <v>600</v>
      </c>
      <c r="K31" s="21">
        <f t="shared" si="8"/>
        <v>7.5221888888888859</v>
      </c>
      <c r="L31" s="4"/>
      <c r="N31" s="13">
        <v>8.1999999999999993</v>
      </c>
    </row>
    <row r="32" spans="1:22" ht="12.75" customHeight="1">
      <c r="B32" s="13">
        <v>700</v>
      </c>
      <c r="C32" s="4">
        <f t="shared" si="7"/>
        <v>25.688440816326533</v>
      </c>
      <c r="D32" s="4"/>
      <c r="F32" s="13">
        <v>7.7990000000000004</v>
      </c>
      <c r="I32" s="2"/>
      <c r="J32" s="13">
        <v>700</v>
      </c>
      <c r="K32" s="21">
        <f t="shared" si="8"/>
        <v>8.4423346938775499</v>
      </c>
      <c r="L32" s="4"/>
      <c r="N32" s="13">
        <v>7.7990000000000004</v>
      </c>
    </row>
    <row r="33" spans="1:14" ht="12.75" customHeight="1">
      <c r="B33" s="13">
        <v>717.82399999999996</v>
      </c>
      <c r="C33" s="4">
        <f t="shared" si="7"/>
        <v>27.041998051444132</v>
      </c>
      <c r="D33" s="4"/>
      <c r="F33" s="13">
        <v>7.694</v>
      </c>
      <c r="I33" s="2"/>
      <c r="J33" s="13">
        <v>717.82399999999996</v>
      </c>
      <c r="K33" s="21">
        <f t="shared" si="8"/>
        <v>8.7666898146684407</v>
      </c>
      <c r="L33" s="4"/>
      <c r="N33" s="13">
        <v>7.694</v>
      </c>
    </row>
    <row r="34" spans="1:14" ht="12.75" customHeight="1"/>
    <row r="35" spans="1:14">
      <c r="A35"/>
    </row>
    <row r="36" spans="1:14">
      <c r="A36"/>
    </row>
    <row r="37" spans="1:14">
      <c r="A37"/>
    </row>
    <row r="38" spans="1:14">
      <c r="A38"/>
    </row>
    <row r="39" spans="1:14">
      <c r="A39"/>
    </row>
    <row r="40" spans="1:14">
      <c r="A40"/>
    </row>
    <row r="41" spans="1:14">
      <c r="A41"/>
    </row>
    <row r="42" spans="1:14">
      <c r="A42"/>
    </row>
    <row r="43" spans="1:14">
      <c r="A43"/>
    </row>
    <row r="44" spans="1:14">
      <c r="A44"/>
    </row>
    <row r="45" spans="1:14">
      <c r="A45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F641-1999-47F6-9376-53A18303D61F}">
  <dimension ref="B1:J34"/>
  <sheetViews>
    <sheetView workbookViewId="0"/>
  </sheetViews>
  <sheetFormatPr defaultRowHeight="12.75"/>
  <cols>
    <col min="4" max="4" width="9.5703125" bestFit="1" customWidth="1"/>
  </cols>
  <sheetData>
    <row r="1" spans="2:10">
      <c r="B1" s="2" t="s">
        <v>93</v>
      </c>
      <c r="C1" s="2"/>
      <c r="D1" s="2"/>
      <c r="E1" s="2"/>
      <c r="F1" s="2"/>
      <c r="G1" s="2"/>
      <c r="H1" s="2"/>
      <c r="I1" s="2" t="s">
        <v>96</v>
      </c>
      <c r="J1" s="2"/>
    </row>
    <row r="2" spans="2:10">
      <c r="B2" s="2"/>
      <c r="C2" s="2"/>
      <c r="D2" s="2" t="s">
        <v>90</v>
      </c>
      <c r="E2" s="2" t="s">
        <v>90</v>
      </c>
      <c r="F2" s="2" t="s">
        <v>91</v>
      </c>
      <c r="G2" s="2" t="s">
        <v>91</v>
      </c>
      <c r="H2" s="2"/>
      <c r="I2" s="2" t="s">
        <v>91</v>
      </c>
      <c r="J2" s="2" t="s">
        <v>91</v>
      </c>
    </row>
    <row r="3" spans="2:10">
      <c r="B3" s="2" t="s">
        <v>70</v>
      </c>
      <c r="C3" s="2" t="s">
        <v>71</v>
      </c>
      <c r="D3" s="2" t="s">
        <v>72</v>
      </c>
      <c r="E3" s="2" t="s">
        <v>2</v>
      </c>
      <c r="F3" s="2" t="s">
        <v>72</v>
      </c>
      <c r="G3" s="2" t="s">
        <v>2</v>
      </c>
      <c r="H3" s="2"/>
      <c r="I3" s="2" t="s">
        <v>72</v>
      </c>
      <c r="J3" s="2" t="s">
        <v>2</v>
      </c>
    </row>
    <row r="4" spans="2:10">
      <c r="B4" s="13">
        <v>0</v>
      </c>
      <c r="C4" s="13">
        <f>B4-273.15</f>
        <v>-273.14999999999998</v>
      </c>
      <c r="D4" s="13">
        <v>0</v>
      </c>
      <c r="E4" s="13">
        <v>0</v>
      </c>
      <c r="F4" s="13">
        <f>D4/4.184</f>
        <v>0</v>
      </c>
      <c r="G4" s="13">
        <f t="shared" ref="G4:G18" si="0">E4/4.184</f>
        <v>0</v>
      </c>
    </row>
    <row r="5" spans="2:10">
      <c r="B5" s="13">
        <v>100</v>
      </c>
      <c r="C5" s="13">
        <f t="shared" ref="C5:C19" si="1">B5-273.15</f>
        <v>-173.14999999999998</v>
      </c>
      <c r="D5" s="13">
        <v>12.77</v>
      </c>
      <c r="E5" s="13">
        <v>12.522</v>
      </c>
      <c r="F5" s="13">
        <f t="shared" ref="F5:F18" si="2">D5/4.184</f>
        <v>3.0521032504780115</v>
      </c>
      <c r="G5" s="13">
        <f t="shared" si="0"/>
        <v>2.99282982791587</v>
      </c>
    </row>
    <row r="6" spans="2:10">
      <c r="B6" s="13">
        <v>200</v>
      </c>
      <c r="C6" s="13">
        <f t="shared" si="1"/>
        <v>-73.149999999999977</v>
      </c>
      <c r="D6" s="13">
        <v>19.367999999999999</v>
      </c>
      <c r="E6" s="13">
        <v>23.637</v>
      </c>
      <c r="F6" s="13">
        <f t="shared" si="2"/>
        <v>4.6290630975143401</v>
      </c>
      <c r="G6" s="13">
        <f t="shared" si="0"/>
        <v>5.6493785850860423</v>
      </c>
    </row>
    <row r="7" spans="2:10">
      <c r="B7" s="13">
        <v>298.14999999999998</v>
      </c>
      <c r="C7" s="13">
        <f t="shared" si="1"/>
        <v>25</v>
      </c>
      <c r="D7" s="13">
        <v>22.698</v>
      </c>
      <c r="E7" s="13">
        <v>32.055999999999997</v>
      </c>
      <c r="F7" s="13">
        <f t="shared" si="2"/>
        <v>5.4249521988527727</v>
      </c>
      <c r="G7" s="13">
        <f t="shared" si="0"/>
        <v>7.6615678776290626</v>
      </c>
      <c r="I7" s="13">
        <v>5.4249999999999998</v>
      </c>
      <c r="J7" s="13">
        <v>7.6609999999999996</v>
      </c>
    </row>
    <row r="8" spans="2:10">
      <c r="B8" s="13">
        <v>300</v>
      </c>
      <c r="C8" s="13">
        <f t="shared" si="1"/>
        <v>26.850000000000023</v>
      </c>
      <c r="D8" s="13">
        <v>22.744</v>
      </c>
      <c r="E8" s="13">
        <v>32.195999999999998</v>
      </c>
      <c r="F8" s="13">
        <f t="shared" si="2"/>
        <v>5.4359464627151048</v>
      </c>
      <c r="G8" s="13">
        <f t="shared" si="0"/>
        <v>7.6950286806883357</v>
      </c>
      <c r="I8" s="13">
        <v>5.4359999999999999</v>
      </c>
      <c r="J8" s="13">
        <v>7.6950000000000003</v>
      </c>
    </row>
    <row r="9" spans="2:10">
      <c r="B9" s="13">
        <v>368.3</v>
      </c>
      <c r="C9" s="13">
        <f t="shared" si="1"/>
        <v>95.150000000000034</v>
      </c>
      <c r="D9" s="13">
        <v>24.245999999999999</v>
      </c>
      <c r="E9" s="13">
        <v>37.015000000000001</v>
      </c>
      <c r="F9" s="13">
        <f t="shared" si="2"/>
        <v>5.7949330783938811</v>
      </c>
      <c r="G9" s="13">
        <f t="shared" si="0"/>
        <v>8.8467973231357551</v>
      </c>
      <c r="I9" s="13">
        <v>5.7949999999999999</v>
      </c>
      <c r="J9" s="13">
        <v>8.8460000000000001</v>
      </c>
    </row>
    <row r="10" spans="2:10">
      <c r="B10" s="13">
        <v>368.3</v>
      </c>
      <c r="C10" s="13">
        <f t="shared" si="1"/>
        <v>95.150000000000034</v>
      </c>
      <c r="D10" s="13">
        <v>24.773</v>
      </c>
      <c r="E10" s="13">
        <v>38.103000000000002</v>
      </c>
      <c r="F10" s="13">
        <f t="shared" si="2"/>
        <v>5.9208891013384317</v>
      </c>
      <c r="G10" s="13">
        <f t="shared" si="0"/>
        <v>9.1068355640535366</v>
      </c>
      <c r="I10" s="13">
        <v>5.9210000000000003</v>
      </c>
      <c r="J10" s="13">
        <v>9.1059999999999999</v>
      </c>
    </row>
    <row r="11" spans="2:10">
      <c r="B11" s="13">
        <v>388.36</v>
      </c>
      <c r="C11" s="13">
        <f t="shared" si="1"/>
        <v>115.21000000000004</v>
      </c>
      <c r="D11" s="13">
        <v>25.167000000000002</v>
      </c>
      <c r="E11" s="13">
        <v>39.427</v>
      </c>
      <c r="F11" s="13">
        <f t="shared" si="2"/>
        <v>6.0150573613766731</v>
      </c>
      <c r="G11" s="13">
        <f t="shared" si="0"/>
        <v>9.4232791586998079</v>
      </c>
      <c r="I11" s="13">
        <v>6.0149999999999997</v>
      </c>
      <c r="J11" s="13">
        <v>9.423</v>
      </c>
    </row>
    <row r="12" spans="2:10">
      <c r="B12" s="13">
        <v>388.36</v>
      </c>
      <c r="C12" s="13">
        <f t="shared" si="1"/>
        <v>115.21000000000004</v>
      </c>
      <c r="D12" s="13">
        <v>31.058</v>
      </c>
      <c r="E12" s="13">
        <v>43.859000000000002</v>
      </c>
      <c r="F12" s="13">
        <f t="shared" si="2"/>
        <v>7.4230401529636705</v>
      </c>
      <c r="G12" s="13">
        <f t="shared" si="0"/>
        <v>10.482552581261951</v>
      </c>
      <c r="I12" s="13">
        <v>7.423</v>
      </c>
      <c r="J12" s="13">
        <v>10.486000000000001</v>
      </c>
    </row>
    <row r="13" spans="2:10">
      <c r="B13" s="13">
        <v>400</v>
      </c>
      <c r="C13" s="13">
        <f t="shared" si="1"/>
        <v>126.85000000000002</v>
      </c>
      <c r="D13" s="13">
        <v>32.161999999999999</v>
      </c>
      <c r="E13" s="13">
        <v>44.792999999999999</v>
      </c>
      <c r="F13" s="13">
        <f t="shared" si="2"/>
        <v>7.6869024856596555</v>
      </c>
      <c r="G13" s="13">
        <f t="shared" si="0"/>
        <v>10.70578393881453</v>
      </c>
      <c r="I13" s="13">
        <v>7.6870000000000003</v>
      </c>
      <c r="J13" s="13">
        <v>10.709</v>
      </c>
    </row>
    <row r="14" spans="2:10">
      <c r="B14" s="13">
        <v>432.02</v>
      </c>
      <c r="C14" s="13">
        <f t="shared" si="1"/>
        <v>158.87</v>
      </c>
      <c r="D14" s="13">
        <v>53.808</v>
      </c>
      <c r="E14" s="13">
        <v>47.430999999999997</v>
      </c>
      <c r="F14" s="13">
        <f t="shared" si="2"/>
        <v>12.860420650095602</v>
      </c>
      <c r="G14" s="13">
        <f t="shared" si="0"/>
        <v>11.336281070745697</v>
      </c>
      <c r="I14" s="13">
        <v>12.86</v>
      </c>
      <c r="J14" s="13">
        <v>11.34</v>
      </c>
    </row>
    <row r="15" spans="2:10">
      <c r="B15" s="13">
        <v>432.02</v>
      </c>
      <c r="C15" s="13">
        <f t="shared" si="1"/>
        <v>158.87</v>
      </c>
      <c r="D15" s="13">
        <v>53.805999999999997</v>
      </c>
      <c r="E15" s="13">
        <v>47.430999999999997</v>
      </c>
      <c r="F15" s="13">
        <f t="shared" si="2"/>
        <v>12.859942638623325</v>
      </c>
      <c r="G15" s="13">
        <f t="shared" si="0"/>
        <v>11.336281070745697</v>
      </c>
    </row>
    <row r="16" spans="2:10">
      <c r="B16" s="13">
        <v>500</v>
      </c>
      <c r="C16" s="13">
        <f t="shared" si="1"/>
        <v>226.85000000000002</v>
      </c>
      <c r="D16" s="13">
        <v>37.985999999999997</v>
      </c>
      <c r="E16" s="13">
        <v>53.531999999999996</v>
      </c>
      <c r="F16" s="13">
        <f t="shared" si="2"/>
        <v>9.0788718929254291</v>
      </c>
      <c r="G16" s="13">
        <f t="shared" si="0"/>
        <v>12.794455066921605</v>
      </c>
      <c r="I16" s="13">
        <v>9.0779999999999994</v>
      </c>
      <c r="J16" s="13">
        <v>12.797000000000001</v>
      </c>
    </row>
    <row r="17" spans="2:10">
      <c r="B17" s="13">
        <v>600</v>
      </c>
      <c r="C17" s="13">
        <f t="shared" si="1"/>
        <v>326.85000000000002</v>
      </c>
      <c r="D17" s="13">
        <v>34.308</v>
      </c>
      <c r="E17" s="13">
        <v>60.078000000000003</v>
      </c>
      <c r="F17" s="13">
        <f t="shared" si="2"/>
        <v>8.199808795411089</v>
      </c>
      <c r="G17" s="13">
        <f t="shared" si="0"/>
        <v>14.358986615678777</v>
      </c>
      <c r="I17" s="13">
        <v>8.1999999999999993</v>
      </c>
      <c r="J17" s="13">
        <v>14.632</v>
      </c>
    </row>
    <row r="18" spans="2:10">
      <c r="B18" s="13">
        <v>700</v>
      </c>
      <c r="C18" s="13">
        <f t="shared" si="1"/>
        <v>426.85</v>
      </c>
      <c r="D18" s="13">
        <v>32.680999999999997</v>
      </c>
      <c r="E18" s="13">
        <v>65.241</v>
      </c>
      <c r="F18" s="13">
        <f t="shared" si="2"/>
        <v>7.810946462715104</v>
      </c>
      <c r="G18" s="13">
        <f t="shared" si="0"/>
        <v>15.592973231357552</v>
      </c>
      <c r="I18" s="13">
        <v>7.7990000000000004</v>
      </c>
      <c r="J18" s="13">
        <v>15.596</v>
      </c>
    </row>
    <row r="19" spans="2:10">
      <c r="B19" s="13">
        <v>717.82399999999996</v>
      </c>
      <c r="C19" s="13">
        <f t="shared" si="1"/>
        <v>444.67399999999998</v>
      </c>
      <c r="I19" s="13">
        <v>7.694</v>
      </c>
      <c r="J19" s="13">
        <v>15.79</v>
      </c>
    </row>
    <row r="20" spans="2:10">
      <c r="B20" s="13">
        <v>800</v>
      </c>
      <c r="C20" s="13">
        <f>B20-273.15</f>
        <v>526.85</v>
      </c>
      <c r="D20" s="13">
        <v>31.699000000000002</v>
      </c>
      <c r="E20" s="13">
        <v>69.53</v>
      </c>
      <c r="F20" s="13">
        <f>D20/4.184</f>
        <v>7.5762428298279163</v>
      </c>
      <c r="G20" s="13">
        <f>E20/4.184</f>
        <v>16.618068833652007</v>
      </c>
    </row>
    <row r="21" spans="2:10">
      <c r="B21" s="13">
        <v>882.11699999999996</v>
      </c>
      <c r="C21" s="13">
        <f>B21-273.15</f>
        <v>608.96699999999998</v>
      </c>
      <c r="D21" s="13">
        <v>31.664999999999999</v>
      </c>
      <c r="E21" s="13">
        <v>72.623999999999995</v>
      </c>
      <c r="F21" s="13">
        <f>D21/4.184</f>
        <v>7.5681166347992344</v>
      </c>
      <c r="G21" s="13">
        <f>E21/4.184</f>
        <v>17.357552581261949</v>
      </c>
    </row>
    <row r="22" spans="2:10">
      <c r="B22" s="13"/>
      <c r="C22" s="13"/>
      <c r="D22" s="13"/>
      <c r="E22" s="13"/>
      <c r="F22" s="13"/>
    </row>
    <row r="23" spans="2:10">
      <c r="B23" s="13"/>
      <c r="C23" s="13"/>
      <c r="D23" s="13"/>
      <c r="E23" s="13"/>
      <c r="F23" s="20"/>
    </row>
    <row r="24" spans="2:10">
      <c r="B24" s="13"/>
      <c r="C24" s="13"/>
      <c r="D24" s="13"/>
      <c r="E24" s="13"/>
      <c r="F24" s="13"/>
    </row>
    <row r="25" spans="2:10">
      <c r="B25" s="13"/>
      <c r="C25" s="13"/>
      <c r="D25" s="13"/>
      <c r="E25" s="13"/>
      <c r="F25" s="13"/>
    </row>
    <row r="26" spans="2:10">
      <c r="B26" s="13"/>
      <c r="C26" s="13"/>
      <c r="D26" s="13"/>
      <c r="E26" s="13"/>
      <c r="F26" s="13"/>
    </row>
    <row r="27" spans="2:10">
      <c r="D27" s="18"/>
      <c r="E27" s="18"/>
      <c r="F27" s="18"/>
    </row>
    <row r="28" spans="2:10">
      <c r="B28" s="13"/>
      <c r="C28" s="13"/>
      <c r="D28" s="13"/>
      <c r="E28" s="13"/>
      <c r="F28" s="13"/>
    </row>
    <row r="29" spans="2:10">
      <c r="B29" s="13"/>
      <c r="C29" s="13"/>
      <c r="D29" s="13"/>
      <c r="E29" s="13"/>
      <c r="F29" s="13"/>
    </row>
    <row r="30" spans="2:10">
      <c r="B30" s="13"/>
      <c r="C30" s="13"/>
      <c r="D30" s="13"/>
      <c r="E30" s="13"/>
      <c r="F30" s="13"/>
    </row>
    <row r="31" spans="2:10">
      <c r="B31" s="13"/>
      <c r="C31" s="13"/>
      <c r="D31" s="13"/>
      <c r="E31" s="13"/>
      <c r="F31" s="13"/>
    </row>
    <row r="32" spans="2:10">
      <c r="B32" s="13"/>
      <c r="C32" s="13"/>
      <c r="D32" s="13"/>
      <c r="E32" s="13"/>
      <c r="F32" s="13"/>
    </row>
    <row r="33" spans="2:6">
      <c r="B33" s="13"/>
      <c r="C33" s="13"/>
      <c r="D33" s="13"/>
      <c r="E33" s="13"/>
      <c r="F33" s="13"/>
    </row>
    <row r="34" spans="2:6">
      <c r="B34" s="13"/>
      <c r="C34" s="13"/>
      <c r="D34" s="13"/>
      <c r="E34" s="13"/>
      <c r="F34" s="13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C8DC-8C34-4B33-8945-D81A12FC97E1}">
  <dimension ref="B1:N33"/>
  <sheetViews>
    <sheetView workbookViewId="0"/>
  </sheetViews>
  <sheetFormatPr defaultRowHeight="12.75"/>
  <cols>
    <col min="4" max="4" width="9.5703125" bestFit="1" customWidth="1"/>
    <col min="11" max="11" width="14.85546875" customWidth="1"/>
    <col min="13" max="13" width="10.85546875" bestFit="1" customWidth="1"/>
  </cols>
  <sheetData>
    <row r="1" spans="2:14">
      <c r="B1" s="2" t="s">
        <v>92</v>
      </c>
      <c r="C1" s="2"/>
      <c r="D1" s="2"/>
      <c r="E1" s="2"/>
      <c r="F1" s="2"/>
      <c r="G1" s="2"/>
      <c r="H1" s="2"/>
      <c r="I1" s="2" t="s">
        <v>92</v>
      </c>
      <c r="J1" s="2"/>
    </row>
    <row r="2" spans="2:14">
      <c r="B2" s="2"/>
      <c r="C2" s="2"/>
      <c r="D2" s="2" t="s">
        <v>90</v>
      </c>
      <c r="E2" s="2" t="s">
        <v>90</v>
      </c>
      <c r="F2" s="2" t="s">
        <v>91</v>
      </c>
      <c r="G2" s="2" t="s">
        <v>91</v>
      </c>
      <c r="H2" s="2"/>
      <c r="I2" s="2"/>
      <c r="J2" s="2" t="s">
        <v>91</v>
      </c>
    </row>
    <row r="3" spans="2:14">
      <c r="B3" s="2" t="s">
        <v>70</v>
      </c>
      <c r="C3" s="2" t="s">
        <v>71</v>
      </c>
      <c r="D3" s="2" t="s">
        <v>72</v>
      </c>
      <c r="E3" s="2" t="s">
        <v>2</v>
      </c>
      <c r="F3" s="2" t="s">
        <v>72</v>
      </c>
      <c r="G3" s="2" t="s">
        <v>2</v>
      </c>
      <c r="H3" s="2"/>
      <c r="I3" s="2" t="s">
        <v>70</v>
      </c>
      <c r="J3" s="2" t="s">
        <v>72</v>
      </c>
    </row>
    <row r="4" spans="2:14">
      <c r="B4" s="13">
        <v>388.36</v>
      </c>
      <c r="C4" s="13">
        <f t="shared" ref="C4:C10" si="0">B4-273.15</f>
        <v>115.21000000000004</v>
      </c>
      <c r="D4" s="13">
        <v>31.058</v>
      </c>
      <c r="E4" s="13">
        <v>43.859000000000002</v>
      </c>
      <c r="F4" s="13">
        <f t="shared" ref="F4:F10" si="1">D4/4.184</f>
        <v>7.4230401529636705</v>
      </c>
      <c r="G4" s="13">
        <f t="shared" ref="G4:G10" si="2">E4/4.184</f>
        <v>10.482552581261951</v>
      </c>
      <c r="I4" s="13">
        <v>388.36</v>
      </c>
      <c r="J4" s="13">
        <v>7.4230401529636705</v>
      </c>
    </row>
    <row r="5" spans="2:14">
      <c r="B5" s="13">
        <v>400</v>
      </c>
      <c r="C5" s="13">
        <f t="shared" si="0"/>
        <v>126.85000000000002</v>
      </c>
      <c r="D5" s="13">
        <v>32.161999999999999</v>
      </c>
      <c r="E5" s="13">
        <v>44.792999999999999</v>
      </c>
      <c r="F5" s="13">
        <f t="shared" si="1"/>
        <v>7.6869024856596555</v>
      </c>
      <c r="G5" s="13">
        <f t="shared" si="2"/>
        <v>10.70578393881453</v>
      </c>
      <c r="I5" s="13">
        <v>400</v>
      </c>
      <c r="J5" s="13">
        <v>7.6869024856596555</v>
      </c>
    </row>
    <row r="6" spans="2:14">
      <c r="B6" s="13">
        <v>432.02</v>
      </c>
      <c r="C6" s="13">
        <f t="shared" si="0"/>
        <v>158.87</v>
      </c>
      <c r="D6" s="13">
        <v>53.808</v>
      </c>
      <c r="E6" s="13">
        <v>47.430999999999997</v>
      </c>
      <c r="F6" s="13">
        <f t="shared" si="1"/>
        <v>12.860420650095602</v>
      </c>
      <c r="G6" s="13">
        <f t="shared" si="2"/>
        <v>11.336281070745697</v>
      </c>
      <c r="I6" s="13">
        <v>432.02</v>
      </c>
      <c r="J6" s="13">
        <v>12.860420650095602</v>
      </c>
    </row>
    <row r="7" spans="2:14">
      <c r="B7" s="13">
        <v>432.02</v>
      </c>
      <c r="C7" s="13">
        <f t="shared" si="0"/>
        <v>158.87</v>
      </c>
      <c r="D7" s="13">
        <v>53.805999999999997</v>
      </c>
      <c r="E7" s="13">
        <v>47.430999999999997</v>
      </c>
      <c r="F7" s="13">
        <f t="shared" si="1"/>
        <v>12.859942638623325</v>
      </c>
      <c r="G7" s="13">
        <f t="shared" si="2"/>
        <v>11.336281070745697</v>
      </c>
      <c r="I7" s="13">
        <v>432.02</v>
      </c>
      <c r="J7" s="13">
        <v>12.859942638623325</v>
      </c>
    </row>
    <row r="8" spans="2:14">
      <c r="B8" s="13">
        <v>500</v>
      </c>
      <c r="C8" s="13">
        <f t="shared" si="0"/>
        <v>226.85000000000002</v>
      </c>
      <c r="D8" s="13">
        <v>37.985999999999997</v>
      </c>
      <c r="E8" s="13">
        <v>53.531999999999996</v>
      </c>
      <c r="F8" s="13">
        <f t="shared" si="1"/>
        <v>9.0788718929254291</v>
      </c>
      <c r="G8" s="13">
        <f t="shared" si="2"/>
        <v>12.794455066921605</v>
      </c>
      <c r="I8" s="13">
        <v>500</v>
      </c>
      <c r="J8" s="13">
        <v>9.0788718929254291</v>
      </c>
    </row>
    <row r="9" spans="2:14">
      <c r="B9" s="13">
        <v>600</v>
      </c>
      <c r="C9" s="13">
        <f t="shared" si="0"/>
        <v>326.85000000000002</v>
      </c>
      <c r="D9" s="13">
        <v>34.308</v>
      </c>
      <c r="E9" s="13">
        <v>60.078000000000003</v>
      </c>
      <c r="F9" s="13">
        <f t="shared" si="1"/>
        <v>8.199808795411089</v>
      </c>
      <c r="G9" s="13">
        <f t="shared" si="2"/>
        <v>14.358986615678777</v>
      </c>
      <c r="I9" s="13">
        <v>600</v>
      </c>
      <c r="J9" s="13">
        <v>8.199808795411089</v>
      </c>
    </row>
    <row r="10" spans="2:14">
      <c r="B10" s="13">
        <v>700</v>
      </c>
      <c r="C10" s="13">
        <f t="shared" si="0"/>
        <v>426.85</v>
      </c>
      <c r="D10" s="13">
        <v>32.680999999999997</v>
      </c>
      <c r="E10" s="13">
        <v>65.241</v>
      </c>
      <c r="F10" s="13">
        <f t="shared" si="1"/>
        <v>7.810946462715104</v>
      </c>
      <c r="G10" s="13">
        <f t="shared" si="2"/>
        <v>15.592973231357552</v>
      </c>
      <c r="I10" s="13">
        <v>700</v>
      </c>
      <c r="J10" s="13">
        <v>7.810946462715104</v>
      </c>
    </row>
    <row r="11" spans="2:14">
      <c r="B11" s="13">
        <v>800</v>
      </c>
      <c r="C11" s="13">
        <f>B11-273.15</f>
        <v>526.85</v>
      </c>
      <c r="D11" s="13">
        <v>31.699000000000002</v>
      </c>
      <c r="E11" s="13">
        <v>69.53</v>
      </c>
      <c r="F11" s="13">
        <f>D11/4.184</f>
        <v>7.5762428298279163</v>
      </c>
      <c r="G11" s="13">
        <f>E11/4.184</f>
        <v>16.618068833652007</v>
      </c>
      <c r="I11" s="13">
        <v>800</v>
      </c>
      <c r="J11" s="13">
        <v>7.5762428298279163</v>
      </c>
    </row>
    <row r="12" spans="2:14">
      <c r="B12" s="13">
        <v>882.11699999999996</v>
      </c>
      <c r="C12" s="13">
        <f>B12-273.15</f>
        <v>608.96699999999998</v>
      </c>
      <c r="D12" s="13">
        <v>31.664999999999999</v>
      </c>
      <c r="E12" s="13">
        <v>72.623999999999995</v>
      </c>
      <c r="F12" s="13">
        <f>D12/4.184</f>
        <v>7.5681166347992344</v>
      </c>
      <c r="G12" s="13">
        <f>E12/4.184</f>
        <v>17.357552581261949</v>
      </c>
      <c r="I12" s="13">
        <v>882.11699999999996</v>
      </c>
      <c r="J12" s="13">
        <v>7.5681166347992344</v>
      </c>
    </row>
    <row r="13" spans="2:14">
      <c r="B13" s="2"/>
      <c r="C13" s="2"/>
      <c r="D13" s="13"/>
      <c r="E13" s="13"/>
      <c r="F13" s="13"/>
    </row>
    <row r="14" spans="2:14" ht="13.5" thickBot="1">
      <c r="B14" s="2"/>
      <c r="C14" s="2"/>
      <c r="D14" s="13"/>
      <c r="E14" s="13"/>
      <c r="F14" s="13"/>
    </row>
    <row r="15" spans="2:14">
      <c r="B15" s="2" t="s">
        <v>70</v>
      </c>
      <c r="C15" s="2" t="s">
        <v>72</v>
      </c>
      <c r="D15" s="2" t="s">
        <v>16</v>
      </c>
      <c r="E15" s="2" t="s">
        <v>17</v>
      </c>
      <c r="F15" s="6"/>
      <c r="G15" s="6" t="s">
        <v>37</v>
      </c>
      <c r="I15" s="2" t="s">
        <v>70</v>
      </c>
      <c r="J15" s="2" t="s">
        <v>72</v>
      </c>
      <c r="K15" s="2" t="s">
        <v>16</v>
      </c>
      <c r="L15" s="2" t="s">
        <v>17</v>
      </c>
      <c r="M15" s="6"/>
      <c r="N15" s="6" t="s">
        <v>37</v>
      </c>
    </row>
    <row r="16" spans="2:14">
      <c r="B16" s="13">
        <v>388.36</v>
      </c>
      <c r="C16" s="13">
        <v>7.423</v>
      </c>
      <c r="D16">
        <f t="shared" ref="D16:D17" si="3">B16</f>
        <v>388.36</v>
      </c>
      <c r="E16">
        <f t="shared" ref="E16:E17" si="4">B16^-2</f>
        <v>6.6302669607506544E-6</v>
      </c>
      <c r="F16" t="s">
        <v>31</v>
      </c>
      <c r="G16">
        <v>-559.42872442261455</v>
      </c>
      <c r="I16" s="13">
        <v>432.02</v>
      </c>
      <c r="J16" s="13">
        <v>12.859942638623325</v>
      </c>
      <c r="K16">
        <f t="shared" ref="K16:K21" si="5">I16</f>
        <v>432.02</v>
      </c>
      <c r="L16">
        <f t="shared" ref="L16:L21" si="6">I16^-2</f>
        <v>5.3578715161879054E-6</v>
      </c>
      <c r="M16" t="s">
        <v>31</v>
      </c>
      <c r="N16">
        <v>-6.8677374049789579</v>
      </c>
    </row>
    <row r="17" spans="2:14">
      <c r="B17" s="13">
        <v>400</v>
      </c>
      <c r="C17" s="13">
        <v>7.6870000000000003</v>
      </c>
      <c r="D17">
        <f t="shared" si="3"/>
        <v>400</v>
      </c>
      <c r="E17">
        <f t="shared" si="4"/>
        <v>6.2500000000000003E-6</v>
      </c>
      <c r="F17" t="s">
        <v>44</v>
      </c>
      <c r="G17">
        <v>0.96641679545641501</v>
      </c>
      <c r="I17" s="13">
        <v>500</v>
      </c>
      <c r="J17" s="13">
        <v>9.0788718929254291</v>
      </c>
      <c r="K17">
        <f t="shared" si="5"/>
        <v>500</v>
      </c>
      <c r="L17">
        <f t="shared" si="6"/>
        <v>3.9999999999999998E-6</v>
      </c>
      <c r="M17" t="s">
        <v>44</v>
      </c>
      <c r="N17">
        <v>1.2916887212103746E-2</v>
      </c>
    </row>
    <row r="18" spans="2:14" ht="13.5" thickBot="1">
      <c r="B18" s="13">
        <v>432.02</v>
      </c>
      <c r="C18" s="13">
        <v>12.86</v>
      </c>
      <c r="D18">
        <f>B18</f>
        <v>432.02</v>
      </c>
      <c r="E18">
        <f>B18^-2</f>
        <v>5.3578715161879054E-6</v>
      </c>
      <c r="F18" s="5" t="s">
        <v>45</v>
      </c>
      <c r="G18" s="5">
        <v>28887840.998407755</v>
      </c>
      <c r="I18" s="13">
        <v>600</v>
      </c>
      <c r="J18" s="13">
        <v>8.199808795411089</v>
      </c>
      <c r="K18">
        <f t="shared" si="5"/>
        <v>600</v>
      </c>
      <c r="L18">
        <f t="shared" si="6"/>
        <v>2.7777777777777779E-6</v>
      </c>
      <c r="M18" s="5" t="s">
        <v>45</v>
      </c>
      <c r="N18" s="5">
        <v>2569410.1044347119</v>
      </c>
    </row>
    <row r="19" spans="2:14">
      <c r="B19" s="13"/>
      <c r="C19" s="13"/>
      <c r="D19" s="13"/>
      <c r="E19" s="13"/>
      <c r="I19" s="13">
        <v>700</v>
      </c>
      <c r="J19" s="13">
        <v>7.810946462715104</v>
      </c>
      <c r="K19">
        <f t="shared" si="5"/>
        <v>700</v>
      </c>
      <c r="L19">
        <f t="shared" si="6"/>
        <v>2.0408163265306121E-6</v>
      </c>
    </row>
    <row r="20" spans="2:14">
      <c r="B20" s="13"/>
      <c r="C20" s="13"/>
      <c r="E20" s="13"/>
      <c r="I20" s="13">
        <v>800</v>
      </c>
      <c r="J20" s="13">
        <v>7.5762428298279163</v>
      </c>
      <c r="K20">
        <f t="shared" si="5"/>
        <v>800</v>
      </c>
      <c r="L20">
        <f t="shared" si="6"/>
        <v>1.5625000000000001E-6</v>
      </c>
    </row>
    <row r="21" spans="2:14">
      <c r="B21" s="13"/>
      <c r="C21" s="13"/>
      <c r="E21" s="13"/>
      <c r="F21" s="13"/>
      <c r="I21" s="13">
        <v>882.11699999999996</v>
      </c>
      <c r="J21" s="13">
        <v>7.5681166347992344</v>
      </c>
      <c r="K21">
        <f t="shared" si="5"/>
        <v>882.11699999999996</v>
      </c>
      <c r="L21">
        <f t="shared" si="6"/>
        <v>1.2851316409555683E-6</v>
      </c>
    </row>
    <row r="22" spans="2:14">
      <c r="B22" s="13"/>
      <c r="C22" s="13"/>
      <c r="E22" s="13"/>
      <c r="F22" s="13"/>
    </row>
    <row r="23" spans="2:14" ht="15.75">
      <c r="B23" s="13"/>
      <c r="C23" s="13"/>
      <c r="D23" s="13"/>
      <c r="E23" s="13"/>
      <c r="F23" s="13"/>
      <c r="I23" s="2"/>
      <c r="J23" s="3"/>
      <c r="K23" s="22" t="s">
        <v>5</v>
      </c>
      <c r="L23" s="22" t="s">
        <v>6</v>
      </c>
      <c r="M23" s="22" t="s">
        <v>7</v>
      </c>
    </row>
    <row r="24" spans="2:14" ht="15.75">
      <c r="B24" s="13"/>
      <c r="C24" s="13"/>
      <c r="I24" s="2"/>
      <c r="J24" s="3"/>
      <c r="K24" s="22">
        <v>1</v>
      </c>
      <c r="L24" s="22" t="s">
        <v>16</v>
      </c>
      <c r="M24" s="22" t="s">
        <v>17</v>
      </c>
    </row>
    <row r="25" spans="2:14">
      <c r="B25" s="2" t="s">
        <v>99</v>
      </c>
      <c r="C25" s="2"/>
      <c r="I25" s="2" t="s">
        <v>77</v>
      </c>
      <c r="J25">
        <v>298.14999999999998</v>
      </c>
      <c r="K25" s="17">
        <v>-6.8677374049789579</v>
      </c>
      <c r="L25" s="17">
        <v>1.2916887212103746E-2</v>
      </c>
      <c r="M25" s="17">
        <v>2569410.1044347119</v>
      </c>
    </row>
    <row r="26" spans="2:14">
      <c r="B26" s="25">
        <v>388.36</v>
      </c>
      <c r="C26" s="2"/>
      <c r="I26" s="25">
        <v>432.02</v>
      </c>
      <c r="J26" s="2" t="s">
        <v>70</v>
      </c>
      <c r="K26" s="24" t="s">
        <v>81</v>
      </c>
      <c r="L26" s="2"/>
      <c r="M26" s="18"/>
      <c r="N26" t="s">
        <v>78</v>
      </c>
    </row>
    <row r="27" spans="2:14">
      <c r="B27" s="25" t="s">
        <v>100</v>
      </c>
      <c r="C27" s="2"/>
      <c r="I27" s="25" t="s">
        <v>100</v>
      </c>
      <c r="J27" s="13">
        <v>388.36</v>
      </c>
      <c r="K27" s="4">
        <f>K$25+L$25*J27+M$25*J27^-2</f>
        <v>15.18453983676601</v>
      </c>
      <c r="L27" s="4"/>
      <c r="N27" s="13">
        <v>7.423</v>
      </c>
    </row>
    <row r="28" spans="2:14">
      <c r="B28" s="25">
        <v>432.02</v>
      </c>
      <c r="C28" s="2"/>
      <c r="I28" s="25">
        <v>717.82399999999996</v>
      </c>
      <c r="J28" s="13">
        <v>400</v>
      </c>
      <c r="K28" s="4">
        <f t="shared" ref="K28:K33" si="7">K$25+L$25*J28+M$25*J28^-2</f>
        <v>14.357830632579493</v>
      </c>
      <c r="L28" s="4"/>
      <c r="N28" s="13">
        <v>7.6870000000000003</v>
      </c>
    </row>
    <row r="29" spans="2:14" ht="15">
      <c r="I29" s="2"/>
      <c r="J29" s="13">
        <v>432.02</v>
      </c>
      <c r="K29" s="21">
        <f t="shared" si="7"/>
        <v>12.479185420350236</v>
      </c>
      <c r="L29" s="4"/>
      <c r="N29" s="13">
        <v>12.86</v>
      </c>
    </row>
    <row r="30" spans="2:14" ht="15">
      <c r="I30" s="2"/>
      <c r="J30" s="13">
        <v>500</v>
      </c>
      <c r="K30" s="21">
        <f t="shared" si="7"/>
        <v>9.8683466188117634</v>
      </c>
      <c r="L30" s="4"/>
      <c r="N30" s="13">
        <v>9.0779999999999994</v>
      </c>
    </row>
    <row r="31" spans="2:14" ht="15">
      <c r="I31" s="2"/>
      <c r="J31" s="13">
        <v>600</v>
      </c>
      <c r="K31" s="21">
        <f t="shared" si="7"/>
        <v>8.0196452123797108</v>
      </c>
      <c r="L31" s="4"/>
      <c r="N31" s="13">
        <v>8.1999999999999993</v>
      </c>
    </row>
    <row r="32" spans="2:14" ht="15">
      <c r="I32" s="2"/>
      <c r="J32" s="13">
        <v>700</v>
      </c>
      <c r="K32" s="21">
        <f t="shared" si="7"/>
        <v>7.4177777341767488</v>
      </c>
      <c r="L32" s="4"/>
      <c r="N32" s="13">
        <v>7.7990000000000004</v>
      </c>
    </row>
    <row r="33" spans="9:14" ht="15">
      <c r="I33" s="2"/>
      <c r="J33" s="13">
        <v>717.82399999999996</v>
      </c>
      <c r="K33" s="21">
        <f t="shared" si="7"/>
        <v>7.3908332448151972</v>
      </c>
      <c r="L33" s="4"/>
      <c r="N33" s="13">
        <v>7.694</v>
      </c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4172-A016-4E74-86BC-62BE65256D3D}">
  <dimension ref="A2:O29"/>
  <sheetViews>
    <sheetView workbookViewId="0"/>
  </sheetViews>
  <sheetFormatPr defaultRowHeight="12.75"/>
  <cols>
    <col min="1" max="1" width="12.42578125" bestFit="1" customWidth="1"/>
    <col min="2" max="2" width="10.85546875" bestFit="1" customWidth="1"/>
    <col min="6" max="6" width="4.7109375" bestFit="1" customWidth="1"/>
    <col min="7" max="7" width="10.140625" bestFit="1" customWidth="1"/>
    <col min="9" max="9" width="12.28515625" bestFit="1" customWidth="1"/>
    <col min="10" max="10" width="12" bestFit="1" customWidth="1"/>
    <col min="11" max="11" width="12.5703125" bestFit="1" customWidth="1"/>
    <col min="13" max="13" width="12.28515625" bestFit="1" customWidth="1"/>
    <col min="14" max="14" width="12" bestFit="1" customWidth="1"/>
    <col min="15" max="15" width="12.5703125" bestFit="1" customWidth="1"/>
  </cols>
  <sheetData>
    <row r="2" spans="1:15">
      <c r="A2" s="2" t="s">
        <v>113</v>
      </c>
      <c r="B2" s="2" t="s">
        <v>90</v>
      </c>
      <c r="C2" s="2" t="s">
        <v>91</v>
      </c>
      <c r="I2" s="2" t="s">
        <v>116</v>
      </c>
      <c r="J2" s="2" t="s">
        <v>90</v>
      </c>
      <c r="K2" s="2" t="s">
        <v>91</v>
      </c>
      <c r="M2" s="2" t="s">
        <v>114</v>
      </c>
      <c r="N2" s="2" t="s">
        <v>90</v>
      </c>
      <c r="O2" s="2" t="s">
        <v>91</v>
      </c>
    </row>
    <row r="3" spans="1:15">
      <c r="A3" s="2" t="s">
        <v>104</v>
      </c>
      <c r="C3">
        <v>-204660.3</v>
      </c>
      <c r="I3" s="2" t="s">
        <v>104</v>
      </c>
      <c r="K3">
        <v>0</v>
      </c>
      <c r="M3" s="2" t="s">
        <v>104</v>
      </c>
      <c r="O3" t="s">
        <v>115</v>
      </c>
    </row>
    <row r="4" spans="1:15">
      <c r="A4" s="2" t="s">
        <v>105</v>
      </c>
      <c r="C4" s="29">
        <v>-217667.3</v>
      </c>
      <c r="D4" s="29"/>
      <c r="I4" s="2" t="s">
        <v>105</v>
      </c>
      <c r="K4" s="29">
        <v>0</v>
      </c>
      <c r="M4" s="2" t="s">
        <v>105</v>
      </c>
      <c r="O4" s="29">
        <v>96</v>
      </c>
    </row>
    <row r="5" spans="1:15">
      <c r="A5" s="2" t="s">
        <v>2</v>
      </c>
      <c r="C5">
        <v>9.9019999999999992</v>
      </c>
      <c r="D5" t="s">
        <v>123</v>
      </c>
      <c r="I5" s="2" t="s">
        <v>2</v>
      </c>
      <c r="K5">
        <v>7.66</v>
      </c>
      <c r="M5" s="2" t="s">
        <v>2</v>
      </c>
      <c r="O5">
        <v>7.66</v>
      </c>
    </row>
    <row r="6" spans="1:15">
      <c r="A6" s="2" t="s">
        <v>107</v>
      </c>
      <c r="B6">
        <v>18.809999999999999</v>
      </c>
      <c r="I6" s="2" t="s">
        <v>106</v>
      </c>
      <c r="J6">
        <v>32.049999999999997</v>
      </c>
      <c r="M6" s="2" t="s">
        <v>106</v>
      </c>
      <c r="N6">
        <v>32.049999999999997</v>
      </c>
    </row>
    <row r="7" spans="1:15">
      <c r="A7" s="2" t="s">
        <v>108</v>
      </c>
      <c r="B7" s="29">
        <v>205.15</v>
      </c>
      <c r="I7" s="2"/>
      <c r="J7" s="29"/>
      <c r="M7" s="2"/>
      <c r="N7" s="29"/>
    </row>
    <row r="8" spans="1:15">
      <c r="A8" s="2" t="s">
        <v>109</v>
      </c>
      <c r="B8">
        <f>B6+B7</f>
        <v>223.96</v>
      </c>
      <c r="I8" s="2" t="s">
        <v>109</v>
      </c>
      <c r="J8">
        <f>J6+J7</f>
        <v>32.049999999999997</v>
      </c>
      <c r="M8" s="2" t="s">
        <v>109</v>
      </c>
      <c r="N8">
        <f>N6+N7</f>
        <v>32.049999999999997</v>
      </c>
    </row>
    <row r="9" spans="1:15">
      <c r="A9" s="23" t="s">
        <v>110</v>
      </c>
      <c r="C9">
        <f>B8/4.184</f>
        <v>53.527724665391972</v>
      </c>
      <c r="D9" t="s">
        <v>122</v>
      </c>
      <c r="I9" s="23" t="s">
        <v>110</v>
      </c>
      <c r="K9">
        <f>J8/4.184</f>
        <v>7.6601338432122361</v>
      </c>
      <c r="M9" s="23" t="s">
        <v>110</v>
      </c>
      <c r="O9">
        <f>N8/4.184</f>
        <v>7.6601338432122361</v>
      </c>
    </row>
    <row r="10" spans="1:15">
      <c r="A10" s="2" t="s">
        <v>121</v>
      </c>
      <c r="C10">
        <f>C5-C9</f>
        <v>-43.625724665391971</v>
      </c>
      <c r="I10" s="2" t="s">
        <v>121</v>
      </c>
      <c r="K10">
        <f>K5-K9</f>
        <v>-1.338432122359734E-4</v>
      </c>
      <c r="M10" s="2" t="s">
        <v>121</v>
      </c>
      <c r="O10">
        <f>O5-O9</f>
        <v>-1.338432122359734E-4</v>
      </c>
    </row>
    <row r="11" spans="1:15">
      <c r="A11" s="2" t="s">
        <v>111</v>
      </c>
      <c r="C11">
        <f>C10*298.15</f>
        <v>-13007.009808986615</v>
      </c>
      <c r="I11" s="2" t="s">
        <v>111</v>
      </c>
      <c r="K11">
        <f>K10*298.15</f>
        <v>-3.9905353728155464E-2</v>
      </c>
      <c r="M11" s="2" t="s">
        <v>111</v>
      </c>
      <c r="O11">
        <f>O10*298.15</f>
        <v>-3.9905353728155464E-2</v>
      </c>
    </row>
    <row r="12" spans="1:15">
      <c r="A12" s="2" t="s">
        <v>112</v>
      </c>
      <c r="C12">
        <f>C4-C11</f>
        <v>-204660.29019101337</v>
      </c>
      <c r="I12" s="2" t="s">
        <v>112</v>
      </c>
      <c r="K12">
        <f>K4-K11</f>
        <v>3.9905353728155464E-2</v>
      </c>
      <c r="M12" s="2" t="s">
        <v>112</v>
      </c>
      <c r="O12">
        <f>O4-O11</f>
        <v>96.039905353728159</v>
      </c>
    </row>
    <row r="15" spans="1:15">
      <c r="G15" s="2" t="s">
        <v>93</v>
      </c>
      <c r="H15" s="2"/>
    </row>
    <row r="16" spans="1:15">
      <c r="G16" s="2" t="s">
        <v>90</v>
      </c>
      <c r="H16" s="2" t="s">
        <v>91</v>
      </c>
      <c r="I16" s="2" t="s">
        <v>117</v>
      </c>
      <c r="J16" s="2" t="s">
        <v>90</v>
      </c>
      <c r="K16" s="2" t="s">
        <v>91</v>
      </c>
      <c r="M16" s="2" t="s">
        <v>118</v>
      </c>
      <c r="N16" s="2" t="s">
        <v>90</v>
      </c>
      <c r="O16" s="2" t="s">
        <v>91</v>
      </c>
    </row>
    <row r="17" spans="6:15">
      <c r="F17" s="2" t="s">
        <v>104</v>
      </c>
      <c r="G17">
        <v>432</v>
      </c>
      <c r="H17">
        <f>G17/4.184</f>
        <v>103.25047801147227</v>
      </c>
      <c r="I17" s="2" t="s">
        <v>104</v>
      </c>
      <c r="K17">
        <f>H17</f>
        <v>103.25047801147227</v>
      </c>
      <c r="M17" s="2" t="s">
        <v>104</v>
      </c>
      <c r="O17">
        <f>H17</f>
        <v>103.25047801147227</v>
      </c>
    </row>
    <row r="18" spans="6:15" ht="15">
      <c r="F18" s="2" t="s">
        <v>105</v>
      </c>
      <c r="G18">
        <v>1854</v>
      </c>
      <c r="H18" s="30">
        <f t="shared" ref="H18:H19" si="0">G18/4.184</f>
        <v>443.11663479923516</v>
      </c>
      <c r="I18" s="2" t="s">
        <v>105</v>
      </c>
      <c r="K18" s="29">
        <f>H18</f>
        <v>443.11663479923516</v>
      </c>
      <c r="M18" s="2" t="s">
        <v>105</v>
      </c>
      <c r="O18" s="29">
        <f>H18</f>
        <v>443.11663479923516</v>
      </c>
    </row>
    <row r="19" spans="6:15">
      <c r="F19" s="2" t="s">
        <v>119</v>
      </c>
      <c r="G19">
        <v>36.825000000000003</v>
      </c>
      <c r="H19">
        <f t="shared" si="0"/>
        <v>8.8013862332695982</v>
      </c>
      <c r="I19" s="2" t="s">
        <v>2</v>
      </c>
      <c r="K19">
        <f>H19</f>
        <v>8.8013862332695982</v>
      </c>
      <c r="M19" s="2" t="s">
        <v>2</v>
      </c>
      <c r="O19">
        <f>H19</f>
        <v>8.8013862332695982</v>
      </c>
    </row>
    <row r="20" spans="6:15">
      <c r="I20" s="2" t="s">
        <v>106</v>
      </c>
      <c r="J20">
        <v>32.049999999999997</v>
      </c>
      <c r="M20" s="2" t="s">
        <v>106</v>
      </c>
      <c r="N20">
        <v>32.049999999999997</v>
      </c>
    </row>
    <row r="21" spans="6:15">
      <c r="I21" s="2"/>
      <c r="J21" s="29"/>
      <c r="M21" s="2"/>
      <c r="N21" s="29"/>
    </row>
    <row r="22" spans="6:15">
      <c r="I22" s="2" t="s">
        <v>109</v>
      </c>
      <c r="J22">
        <f>J20+J21</f>
        <v>32.049999999999997</v>
      </c>
      <c r="M22" s="2" t="s">
        <v>109</v>
      </c>
      <c r="N22">
        <f>N20+N21</f>
        <v>32.049999999999997</v>
      </c>
    </row>
    <row r="23" spans="6:15">
      <c r="I23" s="23" t="s">
        <v>110</v>
      </c>
      <c r="K23">
        <f>J22/4.184</f>
        <v>7.6601338432122361</v>
      </c>
      <c r="M23" s="23" t="s">
        <v>110</v>
      </c>
      <c r="O23">
        <f>N22/4.184</f>
        <v>7.6601338432122361</v>
      </c>
    </row>
    <row r="24" spans="6:15">
      <c r="I24" s="2" t="s">
        <v>121</v>
      </c>
      <c r="K24">
        <f>K19-K23</f>
        <v>1.1412523900573621</v>
      </c>
      <c r="M24" s="2" t="s">
        <v>121</v>
      </c>
      <c r="O24">
        <f>O19-O23</f>
        <v>1.1412523900573621</v>
      </c>
    </row>
    <row r="25" spans="6:15">
      <c r="I25" s="2" t="s">
        <v>111</v>
      </c>
      <c r="K25">
        <f>K24*298.15</f>
        <v>340.26440009560247</v>
      </c>
      <c r="M25" s="2" t="s">
        <v>111</v>
      </c>
      <c r="O25">
        <f>O24*298.15</f>
        <v>340.26440009560247</v>
      </c>
    </row>
    <row r="26" spans="6:15">
      <c r="I26" s="2" t="s">
        <v>112</v>
      </c>
      <c r="K26">
        <f>K18-K25</f>
        <v>102.85223470363269</v>
      </c>
      <c r="M26" s="2" t="s">
        <v>112</v>
      </c>
      <c r="O26">
        <f>O18-O25</f>
        <v>102.85223470363269</v>
      </c>
    </row>
    <row r="29" spans="6:15" ht="15">
      <c r="G29" s="31" t="s">
        <v>120</v>
      </c>
      <c r="H29" s="30">
        <v>413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2"/>
  <sheetViews>
    <sheetView workbookViewId="0"/>
  </sheetViews>
  <sheetFormatPr defaultRowHeight="12.75"/>
  <cols>
    <col min="1" max="1" width="16.85546875" customWidth="1"/>
    <col min="2" max="2" width="16.7109375" customWidth="1"/>
    <col min="3" max="3" width="7" bestFit="1" customWidth="1"/>
    <col min="4" max="5" width="12" bestFit="1" customWidth="1"/>
    <col min="6" max="6" width="11.5703125" bestFit="1" customWidth="1"/>
    <col min="7" max="7" width="12.5703125" bestFit="1" customWidth="1"/>
    <col min="8" max="8" width="12.42578125" bestFit="1" customWidth="1"/>
    <col min="9" max="10" width="12" bestFit="1" customWidth="1"/>
    <col min="11" max="11" width="4" customWidth="1"/>
    <col min="12" max="12" width="12.5703125" bestFit="1" customWidth="1"/>
    <col min="13" max="13" width="13.7109375" bestFit="1" customWidth="1"/>
    <col min="14" max="14" width="12.5703125" bestFit="1" customWidth="1"/>
    <col min="15" max="15" width="12.42578125" bestFit="1" customWidth="1"/>
    <col min="16" max="16" width="13.5703125" bestFit="1" customWidth="1"/>
    <col min="17" max="19" width="12.5703125" bestFit="1" customWidth="1"/>
    <col min="20" max="20" width="9.5703125" bestFit="1" customWidth="1"/>
  </cols>
  <sheetData>
    <row r="1" spans="1:22" ht="15.75">
      <c r="A1" s="2" t="s">
        <v>13</v>
      </c>
      <c r="B1" s="2" t="s">
        <v>12</v>
      </c>
      <c r="C1" s="3" t="s">
        <v>16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0</v>
      </c>
      <c r="L1" t="s">
        <v>20</v>
      </c>
    </row>
    <row r="2" spans="1:22" ht="13.5" thickBot="1">
      <c r="A2" s="9" t="s">
        <v>11</v>
      </c>
      <c r="B2" s="9" t="s">
        <v>10</v>
      </c>
      <c r="D2" s="9">
        <v>46.006</v>
      </c>
      <c r="E2" s="9">
        <v>240.1</v>
      </c>
      <c r="F2" s="9">
        <v>0</v>
      </c>
      <c r="G2" s="9">
        <v>33.1</v>
      </c>
      <c r="H2" s="9">
        <v>51.2</v>
      </c>
    </row>
    <row r="3" spans="1:22">
      <c r="E3" s="13">
        <f>E2/4.184</f>
        <v>57.385277246653914</v>
      </c>
      <c r="F3" s="13">
        <f>F2</f>
        <v>0</v>
      </c>
      <c r="G3" s="14">
        <f>G2/4.184*1000</f>
        <v>7911.089866156788</v>
      </c>
      <c r="H3" s="14">
        <f>H2/4.184*1000</f>
        <v>12237.093690248566</v>
      </c>
      <c r="L3" s="7" t="s">
        <v>21</v>
      </c>
      <c r="M3" s="7"/>
      <c r="U3" s="1"/>
      <c r="V3" s="1"/>
    </row>
    <row r="4" spans="1:22">
      <c r="A4" s="2" t="s">
        <v>14</v>
      </c>
      <c r="E4" s="15" t="s">
        <v>0</v>
      </c>
      <c r="F4" s="15" t="s">
        <v>4</v>
      </c>
      <c r="G4" s="16" t="s">
        <v>2</v>
      </c>
      <c r="H4" s="16" t="s">
        <v>3</v>
      </c>
      <c r="L4" t="s">
        <v>22</v>
      </c>
      <c r="M4">
        <v>0.99999993853555857</v>
      </c>
    </row>
    <row r="5" spans="1:22">
      <c r="A5" s="9" t="s">
        <v>15</v>
      </c>
      <c r="E5" s="11">
        <f>H3</f>
        <v>12237.093690248566</v>
      </c>
      <c r="F5" s="11">
        <f>G3</f>
        <v>7911.089866156788</v>
      </c>
      <c r="G5" s="10">
        <f>E3</f>
        <v>57.385277246653914</v>
      </c>
      <c r="H5" s="10">
        <f>F3</f>
        <v>0</v>
      </c>
      <c r="L5" t="s">
        <v>23</v>
      </c>
      <c r="M5">
        <v>0.99999987707112103</v>
      </c>
    </row>
    <row r="6" spans="1:22">
      <c r="L6" t="s">
        <v>24</v>
      </c>
      <c r="M6">
        <v>0.99999978487446173</v>
      </c>
    </row>
    <row r="7" spans="1:22" ht="15.75">
      <c r="A7" s="2" t="s">
        <v>51</v>
      </c>
      <c r="C7" s="3"/>
      <c r="D7" s="3" t="s">
        <v>5</v>
      </c>
      <c r="E7" s="3" t="s">
        <v>6</v>
      </c>
      <c r="F7" s="3" t="s">
        <v>7</v>
      </c>
      <c r="G7" s="3" t="s">
        <v>9</v>
      </c>
      <c r="H7" s="3" t="s">
        <v>8</v>
      </c>
      <c r="L7" t="s">
        <v>25</v>
      </c>
      <c r="M7">
        <v>2.5108101001979472E-3</v>
      </c>
    </row>
    <row r="8" spans="1:22" ht="16.5" thickBot="1">
      <c r="A8" s="9">
        <v>2500</v>
      </c>
      <c r="C8" s="3"/>
      <c r="D8" s="3">
        <v>1</v>
      </c>
      <c r="E8" s="3" t="s">
        <v>16</v>
      </c>
      <c r="F8" s="3" t="s">
        <v>17</v>
      </c>
      <c r="G8" s="3" t="s">
        <v>18</v>
      </c>
      <c r="H8" s="3" t="s">
        <v>19</v>
      </c>
      <c r="L8" s="5" t="s">
        <v>26</v>
      </c>
      <c r="M8" s="5">
        <v>8</v>
      </c>
    </row>
    <row r="9" spans="1:22">
      <c r="C9">
        <v>298.14999999999998</v>
      </c>
      <c r="D9" s="17">
        <v>101.8</v>
      </c>
      <c r="E9" s="17">
        <v>-1.1209999999999999E-2</v>
      </c>
      <c r="F9" s="17">
        <v>1218000</v>
      </c>
      <c r="G9" s="17">
        <v>-1300</v>
      </c>
      <c r="H9" s="17">
        <v>1.4610000000000001E-6</v>
      </c>
    </row>
    <row r="10" spans="1:22" ht="13.5" thickBot="1">
      <c r="C10">
        <v>400</v>
      </c>
      <c r="D10" s="1"/>
      <c r="E10" s="1"/>
      <c r="F10" s="1"/>
      <c r="G10" s="1"/>
      <c r="H10" s="1"/>
      <c r="L10" t="s">
        <v>27</v>
      </c>
    </row>
    <row r="11" spans="1:22">
      <c r="L11" s="6"/>
      <c r="M11" s="6" t="s">
        <v>32</v>
      </c>
      <c r="N11" s="6" t="s">
        <v>33</v>
      </c>
      <c r="O11" s="6" t="s">
        <v>34</v>
      </c>
      <c r="P11" s="6" t="s">
        <v>35</v>
      </c>
      <c r="Q11" s="6" t="s">
        <v>36</v>
      </c>
    </row>
    <row r="12" spans="1:22" ht="15.75">
      <c r="D12" s="3" t="s">
        <v>48</v>
      </c>
      <c r="E12" s="8" t="s">
        <v>49</v>
      </c>
      <c r="G12" s="8" t="s">
        <v>16</v>
      </c>
      <c r="H12" s="8" t="s">
        <v>17</v>
      </c>
      <c r="I12" s="8" t="s">
        <v>18</v>
      </c>
      <c r="L12" t="s">
        <v>28</v>
      </c>
      <c r="M12">
        <v>3</v>
      </c>
      <c r="N12">
        <v>205.13215895139112</v>
      </c>
      <c r="O12">
        <v>68.377386317130373</v>
      </c>
      <c r="P12">
        <v>10846378.66041675</v>
      </c>
      <c r="Q12">
        <v>2.8334078740793214E-14</v>
      </c>
    </row>
    <row r="13" spans="1:22">
      <c r="C13">
        <v>298.14999999999998</v>
      </c>
      <c r="D13" s="4">
        <f t="shared" ref="D13:D20" si="0">D$9+E$9*C13+F$9*C13^-2+G$9*C13^-0.5+H$9*C13^2</f>
        <v>37.001380874725015</v>
      </c>
      <c r="E13" s="4">
        <f t="shared" ref="E13:E20" si="1">D13/4.184</f>
        <v>8.8435422740738563</v>
      </c>
      <c r="G13">
        <f t="shared" ref="G13:G20" si="2">C13</f>
        <v>298.14999999999998</v>
      </c>
      <c r="H13">
        <f t="shared" ref="H13:H20" si="3">C13^-2</f>
        <v>1.1249426244107095E-5</v>
      </c>
      <c r="I13">
        <f t="shared" ref="I13:I20" si="4">C13^-0.5</f>
        <v>5.791387083143839E-2</v>
      </c>
      <c r="L13" t="s">
        <v>29</v>
      </c>
      <c r="M13">
        <v>4</v>
      </c>
      <c r="N13">
        <v>2.5216669437024105E-5</v>
      </c>
      <c r="O13">
        <v>6.3041673592560263E-6</v>
      </c>
    </row>
    <row r="14" spans="1:22" ht="13.5" thickBot="1">
      <c r="C14">
        <v>300</v>
      </c>
      <c r="D14" s="4">
        <f t="shared" si="0"/>
        <v>37.04628833868199</v>
      </c>
      <c r="E14" s="4">
        <f t="shared" si="1"/>
        <v>8.8542754155549677</v>
      </c>
      <c r="G14">
        <f t="shared" si="2"/>
        <v>300</v>
      </c>
      <c r="H14">
        <f t="shared" si="3"/>
        <v>1.1111111111111112E-5</v>
      </c>
      <c r="I14">
        <f t="shared" si="4"/>
        <v>5.7735026918962568E-2</v>
      </c>
      <c r="L14" s="5" t="s">
        <v>30</v>
      </c>
      <c r="M14" s="5">
        <v>7</v>
      </c>
      <c r="N14" s="5">
        <v>205.13218416806055</v>
      </c>
      <c r="O14" s="5"/>
      <c r="P14" s="5"/>
      <c r="Q14" s="5"/>
    </row>
    <row r="15" spans="1:22" ht="13.5" thickBot="1">
      <c r="C15">
        <v>400</v>
      </c>
      <c r="D15" s="4">
        <f t="shared" si="0"/>
        <v>40.162259999999996</v>
      </c>
      <c r="E15" s="4">
        <f t="shared" si="1"/>
        <v>9.5990105162523882</v>
      </c>
      <c r="G15">
        <f t="shared" si="2"/>
        <v>400</v>
      </c>
      <c r="H15">
        <f t="shared" si="3"/>
        <v>6.2500000000000003E-6</v>
      </c>
      <c r="I15">
        <f t="shared" si="4"/>
        <v>0.05</v>
      </c>
    </row>
    <row r="16" spans="1:22">
      <c r="C16">
        <v>500</v>
      </c>
      <c r="D16" s="4">
        <f t="shared" si="0"/>
        <v>43.294482585005461</v>
      </c>
      <c r="E16" s="4">
        <f t="shared" si="1"/>
        <v>10.347629680928646</v>
      </c>
      <c r="G16">
        <f t="shared" si="2"/>
        <v>500</v>
      </c>
      <c r="H16">
        <f t="shared" si="3"/>
        <v>3.9999999999999998E-6</v>
      </c>
      <c r="I16">
        <f t="shared" si="4"/>
        <v>4.4721359549995794E-2</v>
      </c>
      <c r="L16" s="6"/>
      <c r="M16" s="6" t="s">
        <v>37</v>
      </c>
      <c r="N16" s="6" t="s">
        <v>25</v>
      </c>
      <c r="O16" s="6" t="s">
        <v>38</v>
      </c>
      <c r="P16" s="6" t="s">
        <v>39</v>
      </c>
      <c r="Q16" s="6" t="s">
        <v>40</v>
      </c>
      <c r="R16" s="6" t="s">
        <v>41</v>
      </c>
      <c r="S16" s="6" t="s">
        <v>42</v>
      </c>
      <c r="T16" s="6" t="s">
        <v>43</v>
      </c>
    </row>
    <row r="17" spans="1:20">
      <c r="C17">
        <v>600</v>
      </c>
      <c r="D17" s="4">
        <f t="shared" si="0"/>
        <v>45.911015573031143</v>
      </c>
      <c r="E17" s="4">
        <f t="shared" si="1"/>
        <v>10.972996073860216</v>
      </c>
      <c r="G17">
        <f t="shared" si="2"/>
        <v>600</v>
      </c>
      <c r="H17">
        <f t="shared" si="3"/>
        <v>2.7777777777777779E-6</v>
      </c>
      <c r="I17">
        <f t="shared" si="4"/>
        <v>4.0824829046386304E-2</v>
      </c>
      <c r="L17" t="s">
        <v>31</v>
      </c>
      <c r="M17">
        <v>97.707567701147198</v>
      </c>
      <c r="N17">
        <v>0.2229977269477329</v>
      </c>
      <c r="O17">
        <v>438.15499394775577</v>
      </c>
      <c r="P17">
        <v>1.6278901869844319E-10</v>
      </c>
      <c r="Q17">
        <v>97.088425471301576</v>
      </c>
      <c r="R17">
        <v>98.32670993099282</v>
      </c>
      <c r="S17">
        <v>97.088425471301576</v>
      </c>
      <c r="T17">
        <v>98.32670993099282</v>
      </c>
    </row>
    <row r="18" spans="1:20">
      <c r="C18">
        <v>700</v>
      </c>
      <c r="D18" s="4">
        <f t="shared" si="0"/>
        <v>48.019222794514747</v>
      </c>
      <c r="E18" s="4">
        <f t="shared" si="1"/>
        <v>11.47686969276165</v>
      </c>
      <c r="G18">
        <f t="shared" si="2"/>
        <v>700</v>
      </c>
      <c r="H18">
        <f t="shared" si="3"/>
        <v>2.0408163265306121E-6</v>
      </c>
      <c r="I18">
        <f t="shared" si="4"/>
        <v>3.7796447300922721E-2</v>
      </c>
      <c r="L18" t="s">
        <v>44</v>
      </c>
      <c r="M18">
        <v>-7.694640749037248E-3</v>
      </c>
      <c r="N18">
        <v>9.4433881284310294E-5</v>
      </c>
      <c r="O18">
        <v>-81.481780102536916</v>
      </c>
      <c r="P18">
        <v>1.359794427501414E-7</v>
      </c>
      <c r="Q18">
        <v>-7.9568317795541132E-3</v>
      </c>
      <c r="R18">
        <v>-7.4324497185203828E-3</v>
      </c>
      <c r="S18">
        <v>-7.9568317795541132E-3</v>
      </c>
      <c r="T18">
        <v>-7.4324497185203828E-3</v>
      </c>
    </row>
    <row r="19" spans="1:20">
      <c r="C19">
        <v>800</v>
      </c>
      <c r="D19" s="4">
        <f t="shared" si="0"/>
        <v>49.708224222874406</v>
      </c>
      <c r="E19" s="4">
        <f t="shared" si="1"/>
        <v>11.880550722484323</v>
      </c>
      <c r="G19">
        <f t="shared" si="2"/>
        <v>800</v>
      </c>
      <c r="H19">
        <f t="shared" si="3"/>
        <v>1.5625000000000001E-6</v>
      </c>
      <c r="I19">
        <f t="shared" si="4"/>
        <v>3.5355339059327376E-2</v>
      </c>
      <c r="L19" t="s">
        <v>45</v>
      </c>
      <c r="M19">
        <v>1165400.3799202153</v>
      </c>
      <c r="N19">
        <v>5540.587786979786</v>
      </c>
      <c r="O19">
        <v>210.33876273179374</v>
      </c>
      <c r="P19">
        <v>3.0648452545716055E-9</v>
      </c>
      <c r="Q19">
        <v>1150017.2102169201</v>
      </c>
      <c r="R19">
        <v>1180783.5496235106</v>
      </c>
      <c r="S19">
        <v>1150017.2102169201</v>
      </c>
      <c r="T19">
        <v>1180783.5496235106</v>
      </c>
    </row>
    <row r="20" spans="1:20" ht="13.5" thickBot="1">
      <c r="C20">
        <v>844</v>
      </c>
      <c r="D20" s="4">
        <f t="shared" si="0"/>
        <v>50.341504746257137</v>
      </c>
      <c r="E20" s="4">
        <f t="shared" si="1"/>
        <v>12.031908400157059</v>
      </c>
      <c r="G20">
        <f t="shared" si="2"/>
        <v>844</v>
      </c>
      <c r="H20">
        <f t="shared" si="3"/>
        <v>1.40383189955302E-6</v>
      </c>
      <c r="I20">
        <f t="shared" si="4"/>
        <v>3.4421419541075714E-2</v>
      </c>
      <c r="L20" s="5" t="s">
        <v>46</v>
      </c>
      <c r="M20" s="5">
        <v>-1234.9817751175922</v>
      </c>
      <c r="N20" s="5">
        <v>4.4277504591784238</v>
      </c>
      <c r="O20" s="5">
        <v>-278.918558420012</v>
      </c>
      <c r="P20" s="5">
        <v>9.9129835824828004E-10</v>
      </c>
      <c r="Q20" s="5">
        <v>-1247.2752066696466</v>
      </c>
      <c r="R20" s="5">
        <v>-1222.6883435655377</v>
      </c>
      <c r="S20" s="5">
        <v>-1247.2752066696466</v>
      </c>
      <c r="T20" s="5">
        <v>-1222.6883435655377</v>
      </c>
    </row>
    <row r="22" spans="1:20" ht="15.75">
      <c r="D22" s="3" t="s">
        <v>5</v>
      </c>
      <c r="E22" s="3" t="s">
        <v>6</v>
      </c>
      <c r="F22" s="3" t="s">
        <v>7</v>
      </c>
      <c r="G22" s="3" t="s">
        <v>9</v>
      </c>
    </row>
    <row r="23" spans="1:20" ht="15.75">
      <c r="D23" s="3">
        <v>1</v>
      </c>
      <c r="E23" s="3" t="s">
        <v>16</v>
      </c>
      <c r="F23" s="3" t="s">
        <v>17</v>
      </c>
      <c r="G23" s="3" t="s">
        <v>18</v>
      </c>
    </row>
    <row r="24" spans="1:20">
      <c r="A24" s="2" t="s">
        <v>47</v>
      </c>
      <c r="D24">
        <f>M17</f>
        <v>97.707567701147198</v>
      </c>
      <c r="E24">
        <f>M18</f>
        <v>-7.694640749037248E-3</v>
      </c>
      <c r="F24">
        <f>+M19</f>
        <v>1165400.3799202153</v>
      </c>
      <c r="G24">
        <f>M20</f>
        <v>-1234.9817751175922</v>
      </c>
    </row>
    <row r="25" spans="1:20">
      <c r="A25" s="2" t="s">
        <v>50</v>
      </c>
      <c r="C25">
        <v>298.14999999999998</v>
      </c>
      <c r="D25" s="12">
        <f>D24/4.184</f>
        <v>23.352669144633651</v>
      </c>
      <c r="E25" s="12">
        <f>E24/4.184*1000</f>
        <v>-1.8390632765385393</v>
      </c>
      <c r="F25" s="12">
        <f>F24/4.184/100000</f>
        <v>2.7853737569794821</v>
      </c>
      <c r="G25" s="12">
        <f>G24/4.184</f>
        <v>-295.16772827858318</v>
      </c>
    </row>
    <row r="26" spans="1:20">
      <c r="C26">
        <v>300</v>
      </c>
    </row>
    <row r="27" spans="1:20">
      <c r="C27">
        <v>400</v>
      </c>
    </row>
    <row r="28" spans="1:20">
      <c r="C28">
        <v>500</v>
      </c>
    </row>
    <row r="29" spans="1:20">
      <c r="C29">
        <v>600</v>
      </c>
    </row>
    <row r="30" spans="1:20">
      <c r="C30">
        <v>700</v>
      </c>
    </row>
    <row r="31" spans="1:20">
      <c r="C31">
        <v>800</v>
      </c>
    </row>
    <row r="32" spans="1:20">
      <c r="C32">
        <v>844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E4187BF1D69D42A75A215A0917265C" ma:contentTypeVersion="6" ma:contentTypeDescription="Create a new document." ma:contentTypeScope="" ma:versionID="e013a5884f97415770b7e35b3d54edc8">
  <xsd:schema xmlns:xsd="http://www.w3.org/2001/XMLSchema" xmlns:xs="http://www.w3.org/2001/XMLSchema" xmlns:p="http://schemas.microsoft.com/office/2006/metadata/properties" xmlns:ns3="0638136a-c651-4c14-a25b-0158f2a5090f" targetNamespace="http://schemas.microsoft.com/office/2006/metadata/properties" ma:root="true" ma:fieldsID="f6c05793d4ba7c53b76c961311d612eb" ns3:_="">
    <xsd:import namespace="0638136a-c651-4c14-a25b-0158f2a509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8136a-c651-4c14-a25b-0158f2a50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01B87F-0EBD-45C7-9BE5-E95133F348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D03882-1B4D-4FB4-ACA4-6862DDCA2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38136a-c651-4c14-a25b-0158f2a509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3FAD9F-BD8F-41AB-8C59-3D543B327F19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0638136a-c651-4c14-a25b-0158f2a5090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LogK graphs</vt:lpstr>
      <vt:lpstr>S(ortho)H&amp;P</vt:lpstr>
      <vt:lpstr>Pankratz data</vt:lpstr>
      <vt:lpstr>solid Cp Pankratz</vt:lpstr>
      <vt:lpstr>liq Cp Pankratz</vt:lpstr>
      <vt:lpstr>JANAF data</vt:lpstr>
      <vt:lpstr>liq Cp JANAF</vt:lpstr>
      <vt:lpstr>JANAF G, H</vt:lpstr>
      <vt:lpstr>template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James Palandri</cp:lastModifiedBy>
  <cp:lastPrinted>2010-02-02T01:29:33Z</cp:lastPrinted>
  <dcterms:created xsi:type="dcterms:W3CDTF">1996-10-14T23:33:28Z</dcterms:created>
  <dcterms:modified xsi:type="dcterms:W3CDTF">2023-10-17T19:26:21Z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0x01010098E4187BF1D69D42A75A215A0917265C</vt:lpwstr>
  </property>
</Properties>
</file>